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55" windowWidth="9720" windowHeight="6300" activeTab="0"/>
  </bookViews>
  <sheets>
    <sheet name="Лист2" sheetId="1" r:id="rId1"/>
  </sheets>
  <definedNames>
    <definedName name="_xlnm.Print_Titles" localSheetId="0">'Лист2'!$7:$11</definedName>
    <definedName name="_xlnm.Print_Area" localSheetId="0">'Лист2'!$A$1:$S$327</definedName>
  </definedNames>
  <calcPr fullCalcOnLoad="1"/>
</workbook>
</file>

<file path=xl/sharedStrings.xml><?xml version="1.0" encoding="utf-8"?>
<sst xmlns="http://schemas.openxmlformats.org/spreadsheetml/2006/main" count="1000" uniqueCount="750">
  <si>
    <t>091303</t>
  </si>
  <si>
    <t>091304</t>
  </si>
  <si>
    <t>100208</t>
  </si>
  <si>
    <t>240900</t>
  </si>
  <si>
    <t>Інші культурно-освітні заклади та заходи (Централізована бухгалтерія)</t>
  </si>
  <si>
    <t xml:space="preserve"> - міська програма реформування медичного обслуговування населення м. Южноукраїнська на 2013-2018 р.</t>
  </si>
  <si>
    <t>250362</t>
  </si>
  <si>
    <t xml:space="preserve">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</si>
  <si>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250102</t>
  </si>
  <si>
    <t>Резервний фонд</t>
  </si>
  <si>
    <t>250388</t>
  </si>
  <si>
    <t>150110</t>
  </si>
  <si>
    <t>Проведення невідкладних відновлювальних робіт, будівництво та реконструкція загальноосвітніх навчальних закладів</t>
  </si>
  <si>
    <t>120201</t>
  </si>
  <si>
    <t>видатки споживання</t>
  </si>
  <si>
    <t>Код                                     програмної класифікації видатків та кредиту- вання місцевого бюджету</t>
  </si>
  <si>
    <t>Код                            тимчасової класифікації видатків та кредитуван-  ня місцевого бюджету</t>
  </si>
  <si>
    <t>Назва головного розпорядника коштів</t>
  </si>
  <si>
    <t>081002</t>
  </si>
  <si>
    <t>1512220</t>
  </si>
  <si>
    <t>Інші заходи в галузі охорони здоров'я - всього,                                              в тому числі:</t>
  </si>
  <si>
    <t xml:space="preserve"> - міська програма реформування медичного обслуговування населення міста Южноукраїнська на 2013-2018 роки </t>
  </si>
  <si>
    <t xml:space="preserve"> - міська програма  запобігання та лікування  серцево-судинних та судинно-мозкових захворювань на 2015-2020 роки</t>
  </si>
  <si>
    <t>Програма і централізовані заходи профілактики ВІЛ-інфекції/СНІДу (Міська Соціальна програма  протидії ВІЛ- інфекції / СНІДу  на 2014-2019 р.р.)</t>
  </si>
  <si>
    <t>081007</t>
  </si>
  <si>
    <t>081008</t>
  </si>
  <si>
    <t>081009</t>
  </si>
  <si>
    <t>081010</t>
  </si>
  <si>
    <t>1110000</t>
  </si>
  <si>
    <t>091102</t>
  </si>
  <si>
    <t>7516310</t>
  </si>
  <si>
    <t xml:space="preserve">Цільові фонди, утворені Верховною Радою Автономної Республіки Крим, органами місцевого самоврядування і місцевими органами виконавчої влади </t>
  </si>
  <si>
    <t>100602</t>
  </si>
  <si>
    <t>7516150</t>
  </si>
  <si>
    <t>Програми і централізовані заходи у галузі охорони здоров'я</t>
  </si>
  <si>
    <t>0318021</t>
  </si>
  <si>
    <t>0318020</t>
  </si>
  <si>
    <t xml:space="preserve"> - міська комплексна програма "Молоде покоління Южноукраїнська на 2012-2015 роки"</t>
  </si>
  <si>
    <t xml:space="preserve"> - міська програма щодо організації мобілізаційної роботи в місті Южноукраїнську на 2014-2015 роки</t>
  </si>
  <si>
    <t>Проведення виборів та референдумів</t>
  </si>
  <si>
    <t xml:space="preserve">Керівництво і управління у сфері молоді, спорту та культури у містах республіканського Автономного Республіки Крим та обласного значення (утримання управління молоді, спорту та культури Южноукраїнської міської ради) </t>
  </si>
  <si>
    <t>4016100</t>
  </si>
  <si>
    <t xml:space="preserve"> - по міській цільовій програмі цивільного захисту міста Южноукраїнська Миколаївської області на 2009 - 2013 роки -</t>
  </si>
  <si>
    <t>180404</t>
  </si>
  <si>
    <t>100101</t>
  </si>
  <si>
    <t>В тому числі видатки за рахунок субвенцій з державного бюджету</t>
  </si>
  <si>
    <t>090308</t>
  </si>
  <si>
    <t>090215</t>
  </si>
  <si>
    <t>061007</t>
  </si>
  <si>
    <t>10</t>
  </si>
  <si>
    <t>091101</t>
  </si>
  <si>
    <t>250203</t>
  </si>
  <si>
    <t>0316310</t>
  </si>
  <si>
    <t>1011010</t>
  </si>
  <si>
    <t>1011020</t>
  </si>
  <si>
    <t>Надання позашкільної освіти позашкільними закладами освіти, заходи із позашкільної роботи з дітьми</t>
  </si>
  <si>
    <t xml:space="preserve">Методичне забезпечення діяльності навчальних закладів та інші заходи в галузі освіти </t>
  </si>
  <si>
    <t xml:space="preserve">Централізоване ведення бухгалтерського обліку </t>
  </si>
  <si>
    <t xml:space="preserve">Утримання інших закладів освіти </t>
  </si>
  <si>
    <t>Надання допомоги дітям-сиротам та дітям, позбавленим батьківського піклування, яким виповнюється 18 років</t>
  </si>
  <si>
    <t>1513011</t>
  </si>
  <si>
    <t>1513021</t>
  </si>
  <si>
    <t>1513012</t>
  </si>
  <si>
    <t xml:space="preserve"> -  міська програма розвитку культури, фізичної культури, спорту та туризму в м.Южноукраїнську на 2014-2018 роки </t>
  </si>
  <si>
    <t>1513013</t>
  </si>
  <si>
    <t>1513023</t>
  </si>
  <si>
    <t>1011802</t>
  </si>
  <si>
    <t>Інші освітні програми (Міська програма розвитку освіти в м.Южноукраїнську на 2011-2015 роки в частині видатків "Сучасні підходи до енергозбереження в закладах освіти" за рахунок субвенції з державного бюджету місцевим бюджетам на фінансування Програм-переможців Всеукраїнського конкурсу проектів та програм розвитку місцевого самоврядування на умовах співфінансування )</t>
  </si>
  <si>
    <t xml:space="preserve"> - благоустрій  міст, сіл, селищ за рахунок субвенції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 </t>
  </si>
  <si>
    <t>Фінансова підтримка об'єктів комунального господарства</t>
  </si>
  <si>
    <t>1513050</t>
  </si>
  <si>
    <t>1513015</t>
  </si>
  <si>
    <t>1513041</t>
  </si>
  <si>
    <t>1513042</t>
  </si>
  <si>
    <t>1513043</t>
  </si>
  <si>
    <t>1513044</t>
  </si>
  <si>
    <t>1513045</t>
  </si>
  <si>
    <t xml:space="preserve">Надання допомоги на дітей одиноким матерям  (за рахунок субвенції з державного бюджету)  </t>
  </si>
  <si>
    <t>1513046</t>
  </si>
  <si>
    <t>1513047</t>
  </si>
  <si>
    <t>1513048</t>
  </si>
  <si>
    <t>1513016</t>
  </si>
  <si>
    <t>1513026</t>
  </si>
  <si>
    <t>1513402</t>
  </si>
  <si>
    <t>7518010</t>
  </si>
  <si>
    <t>1513080</t>
  </si>
  <si>
    <t>1513201</t>
  </si>
  <si>
    <t>1513090</t>
  </si>
  <si>
    <t>1513104</t>
  </si>
  <si>
    <t>Забезпечення соціальними послугами громадян похилого віку, інвалідів, дітей-інвалідів, хворих, які не здатні до самообслуговування, потребують сторонньої допомоги, фізичними особами (міська комплексна програма "Турбота" на 2013 - 2017 роки)</t>
  </si>
  <si>
    <t>1513181</t>
  </si>
  <si>
    <t xml:space="preserve"> - капітальний ремонт житлового фонду за рахунок субвенції з з державного бюджету місцевим бюджетам на здійснення заходів щодо соціально-економічного розвитку окремих територій</t>
  </si>
  <si>
    <t xml:space="preserve">Інші видатки </t>
  </si>
  <si>
    <t xml:space="preserve">Інші правоохоронні заходи і заклади </t>
  </si>
  <si>
    <t>1513401</t>
  </si>
  <si>
    <t xml:space="preserve"> - благоустрій  міст, сіл, селищ за рахунок субвенції з державного бюджету місцевим бюджетам на здійснення заходів щодо соціально-економічного розвитку окремих територій</t>
  </si>
  <si>
    <t>1513190</t>
  </si>
  <si>
    <t>1513202</t>
  </si>
  <si>
    <t>1513049</t>
  </si>
  <si>
    <t>1513182</t>
  </si>
  <si>
    <t>1513183</t>
  </si>
  <si>
    <t>1513035</t>
  </si>
  <si>
    <t>1513037</t>
  </si>
  <si>
    <t>4016010</t>
  </si>
  <si>
    <t>4016021</t>
  </si>
  <si>
    <t>4016052</t>
  </si>
  <si>
    <t>4016060</t>
  </si>
  <si>
    <t>4016310</t>
  </si>
  <si>
    <t>4016330</t>
  </si>
  <si>
    <t>4016650</t>
  </si>
  <si>
    <t>4017420</t>
  </si>
  <si>
    <t>Проведення навчально - тренувальних зборів і змагань з неолімпійських видів спорту (програма розвитку культури, фізичної культури, спорту та туризму в м.Южноукраїнську на 2014-2018 роки)</t>
  </si>
  <si>
    <t>Інші культурно-освітні заклади та заходи (програма розвитку культури, фізичної культури, спорту та туризму в м.Южноукраїнську на 2014-2018 роки)</t>
  </si>
  <si>
    <t>Центри соціальних служб для сім’ї, дітей та молоді</t>
  </si>
  <si>
    <t>Видатки на запобігання та ліквідацію надзвичайних ситуацій та наслідків стихійного лиха (Міська програма "Цільова  програма  захисту  населення і територій від надзвичайних ситуацій техногенного та природного характеру на 2014-2017 роки")</t>
  </si>
  <si>
    <t xml:space="preserve">Заходи державної політики з питань молоді (міська комплексна програма "Молоде покоління Южноукраїнська на 2012-2015 роки") </t>
  </si>
  <si>
    <t>Найменування програми/підпрограми видатків та кредитування місцевих бюджетів</t>
  </si>
  <si>
    <t xml:space="preserve"> - міська програма розвитку футболу в м.Южноукраїнську на 2013-2016 роки</t>
  </si>
  <si>
    <t>Капітальний ремонт об'єктів житлового господарства</t>
  </si>
  <si>
    <t>Капітальний ремонт житлового фонду ,                                 в  тому числі:</t>
  </si>
  <si>
    <t xml:space="preserve"> - капітальний ремонт житлового фонду за рахунок субвенції з державного бюджету</t>
  </si>
  <si>
    <t xml:space="preserve"> - міська програма охорони тваринного світу та регулювання чисельності бродячих тварин в місті Южноукраїнську на 2012-2016 рр</t>
  </si>
  <si>
    <t xml:space="preserve">Інші культурно-освітні заклади та заходи </t>
  </si>
  <si>
    <t>Цільовий фонд Южноукраїнської міської ради для вирішення питань розвитку інфраструктури міста,                                                           в тому числі:</t>
  </si>
  <si>
    <t>2414060</t>
  </si>
  <si>
    <t>2414070</t>
  </si>
  <si>
    <t>Школи естетичного виховання дітей</t>
  </si>
  <si>
    <t>2414100</t>
  </si>
  <si>
    <t>2413140</t>
  </si>
  <si>
    <t>2415011</t>
  </si>
  <si>
    <t>2415012</t>
  </si>
  <si>
    <t>2415060</t>
  </si>
  <si>
    <t>6713140</t>
  </si>
  <si>
    <t>6717810</t>
  </si>
  <si>
    <t>1113131</t>
  </si>
  <si>
    <t>0300000</t>
  </si>
  <si>
    <t>0317214</t>
  </si>
  <si>
    <t>0317210</t>
  </si>
  <si>
    <t xml:space="preserve">Підтримка засобів масової інформації </t>
  </si>
  <si>
    <t xml:space="preserve"> - міська програма розвитку культури, фізичної культури, спорту та туризму в м.Южноукраїнську на 2014-2018 роки</t>
  </si>
  <si>
    <t>0318600</t>
  </si>
  <si>
    <t>0310000</t>
  </si>
  <si>
    <t>Разом:</t>
  </si>
  <si>
    <t>Разом :</t>
  </si>
  <si>
    <t>1000000</t>
  </si>
  <si>
    <t>1010000</t>
  </si>
  <si>
    <t>1500000</t>
  </si>
  <si>
    <t>1510000</t>
  </si>
  <si>
    <t>1513010</t>
  </si>
  <si>
    <t>Надання пільг та житлових субсидій населенню га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</si>
  <si>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1513020</t>
  </si>
  <si>
    <t>6718600</t>
  </si>
  <si>
    <t>6718601</t>
  </si>
  <si>
    <t>1513030</t>
  </si>
  <si>
    <t>1513040</t>
  </si>
  <si>
    <t>1513100</t>
  </si>
  <si>
    <t xml:space="preserve"> - за рахунок субвенції з з державного бюджету на фінансування заходів щодо соціально-економічної компенсації ризику населення, яке проживає на території зони спостереження</t>
  </si>
  <si>
    <t xml:space="preserve">Надання соціальних та реабілітаційних послуг громадянам похилого віку, інвалідам, дітям-інвалідам в установах соціального обслуговування </t>
  </si>
  <si>
    <t xml:space="preserve">Надання соціальних гарантій інвалідам, фізичним особам, які надають соціальні послуги громадянам похилого віку, інвалідам, дітям –інвалідам, хворим, які не здатні до самообслуговування і потребують сторонньої допомоги </t>
  </si>
  <si>
    <t>1513180</t>
  </si>
  <si>
    <t>1513200</t>
  </si>
  <si>
    <t>Соціальний захист ветеранів війни та праці</t>
  </si>
  <si>
    <t>1513400</t>
  </si>
  <si>
    <t>4000000</t>
  </si>
  <si>
    <t>4010000</t>
  </si>
  <si>
    <r>
      <t xml:space="preserve">Управління житлово-комунального господарства та будівництва Южноукраїнської міської ради </t>
    </r>
    <r>
      <rPr>
        <i/>
        <sz val="14"/>
        <rFont val="Times New Roman"/>
        <family val="1"/>
      </rPr>
      <t xml:space="preserve">(відповідальний виконавець) </t>
    </r>
  </si>
  <si>
    <r>
      <t xml:space="preserve">Управління житлово-комунального господарства та будівництва Южноукраїнської міської ради </t>
    </r>
    <r>
      <rPr>
        <i/>
        <sz val="14"/>
        <rFont val="Times New Roman"/>
        <family val="1"/>
      </rPr>
      <t>(головний розпорядник)</t>
    </r>
  </si>
  <si>
    <t>1513017</t>
  </si>
  <si>
    <t>090407</t>
  </si>
  <si>
    <t>4016020</t>
  </si>
  <si>
    <t>4016050</t>
  </si>
  <si>
    <t>7500000</t>
  </si>
  <si>
    <t>7510000</t>
  </si>
  <si>
    <t>2400000</t>
  </si>
  <si>
    <t>2410000</t>
  </si>
  <si>
    <t>2415010</t>
  </si>
  <si>
    <t>Проведення спортивної роботи в регіоні</t>
  </si>
  <si>
    <t>6700000</t>
  </si>
  <si>
    <t>6710000</t>
  </si>
  <si>
    <t>6717100</t>
  </si>
  <si>
    <t>200000</t>
  </si>
  <si>
    <t>201000</t>
  </si>
  <si>
    <r>
      <t xml:space="preserve">Служба у справах дітей Южноукраїнської міської ради </t>
    </r>
    <r>
      <rPr>
        <i/>
        <sz val="14"/>
        <rFont val="Times New Roman"/>
        <family val="1"/>
      </rPr>
      <t>(головний розпорядник)</t>
    </r>
  </si>
  <si>
    <r>
      <t xml:space="preserve">Служба у справах дітей Южноукраїнської міської ради </t>
    </r>
    <r>
      <rPr>
        <i/>
        <sz val="14"/>
        <rFont val="Times New Roman"/>
        <family val="1"/>
      </rPr>
      <t xml:space="preserve">(відповідальний виконавець) </t>
    </r>
  </si>
  <si>
    <t>1100000</t>
  </si>
  <si>
    <t>1113130</t>
  </si>
  <si>
    <t>Здійснення соціальної роботи з вразливими категоріями населення</t>
  </si>
  <si>
    <t>Програма стабілізації та соціально-економічного розвитку територій (програма реформування і розвитку житлово-комунального господарства міста Южноукраїнська на 2010-2014 роки)</t>
  </si>
  <si>
    <t>Здійснення централізованого господарського обслуговування</t>
  </si>
  <si>
    <t>240344</t>
  </si>
  <si>
    <t xml:space="preserve">Дошкільна освiта                                                                         </t>
  </si>
  <si>
    <t xml:space="preserve"> - міська комплексна програма "Молоде покоління м. Южноукраїнська" на 2012-2015 роки "</t>
  </si>
  <si>
    <t>Благоустрій  міст, сіл, селищ ,                                                           в тому числі по:</t>
  </si>
  <si>
    <t>Цільовий фонд Южноукраїнської міської ради для вирішення питань розвитку інфраструктури міста (поточний ремонт баскетбольного майданчику ЗОШ №1, придбання бітуму, поточний ремонт системи каналізації ДНЗ №6)</t>
  </si>
  <si>
    <t>Реалізація заходів щодо інвестиційного розвитку території,                                                                                                   в тому числі :</t>
  </si>
  <si>
    <t>Програма стабілізації та соціально-економічного розвитку територій ,                                                                                     в тому числі по:</t>
  </si>
  <si>
    <t>2419232</t>
  </si>
  <si>
    <t>Культура і мистецтво (утримання закладів культури)</t>
  </si>
  <si>
    <t>120400</t>
  </si>
  <si>
    <t>130106</t>
  </si>
  <si>
    <t>Фізична культура і спорт</t>
  </si>
  <si>
    <t>130000</t>
  </si>
  <si>
    <t xml:space="preserve">Видатки загального фонду </t>
  </si>
  <si>
    <t>із них:</t>
  </si>
  <si>
    <t xml:space="preserve"> - утримання виконавчого комітету Южноукраїнської міської ради)</t>
  </si>
  <si>
    <t>010116</t>
  </si>
  <si>
    <t>250404</t>
  </si>
  <si>
    <t>130107</t>
  </si>
  <si>
    <t>091204</t>
  </si>
  <si>
    <t>170102</t>
  </si>
  <si>
    <t>090405</t>
  </si>
  <si>
    <t>090401</t>
  </si>
  <si>
    <t>090413</t>
  </si>
  <si>
    <t>091209</t>
  </si>
  <si>
    <t>091207</t>
  </si>
  <si>
    <t>0318601</t>
  </si>
  <si>
    <t>6717101</t>
  </si>
  <si>
    <t>090412</t>
  </si>
  <si>
    <t>090416</t>
  </si>
  <si>
    <t>091300</t>
  </si>
  <si>
    <t>100102</t>
  </si>
  <si>
    <t>100203</t>
  </si>
  <si>
    <t>170703</t>
  </si>
  <si>
    <t>210110</t>
  </si>
  <si>
    <t>150101</t>
  </si>
  <si>
    <t>Всього видатки бюджету міста:</t>
  </si>
  <si>
    <t>250301</t>
  </si>
  <si>
    <t>тис.грн.</t>
  </si>
  <si>
    <t>Видатки спеціального фонду</t>
  </si>
  <si>
    <t>090201</t>
  </si>
  <si>
    <t>090202</t>
  </si>
  <si>
    <t>090204</t>
  </si>
  <si>
    <t>090302</t>
  </si>
  <si>
    <t>090303</t>
  </si>
  <si>
    <t>090304</t>
  </si>
  <si>
    <t>090305</t>
  </si>
  <si>
    <t>090306</t>
  </si>
  <si>
    <t>070101</t>
  </si>
  <si>
    <t>070201</t>
  </si>
  <si>
    <t>070401</t>
  </si>
  <si>
    <t>070802</t>
  </si>
  <si>
    <t>070804</t>
  </si>
  <si>
    <t>070805</t>
  </si>
  <si>
    <t>070806</t>
  </si>
  <si>
    <t>110201</t>
  </si>
  <si>
    <t>110205</t>
  </si>
  <si>
    <t>110502</t>
  </si>
  <si>
    <t>090207</t>
  </si>
  <si>
    <t>110202</t>
  </si>
  <si>
    <t>180109</t>
  </si>
  <si>
    <t>170302</t>
  </si>
  <si>
    <t>090417</t>
  </si>
  <si>
    <t>070808</t>
  </si>
  <si>
    <t>210105</t>
  </si>
  <si>
    <t>090205</t>
  </si>
  <si>
    <t>090208</t>
  </si>
  <si>
    <t>090307</t>
  </si>
  <si>
    <t>240601</t>
  </si>
  <si>
    <t>110000</t>
  </si>
  <si>
    <t>Культура і мистецтво (всього)</t>
  </si>
  <si>
    <t>Бібліотеки</t>
  </si>
  <si>
    <t>Музеї і виставки</t>
  </si>
  <si>
    <t>100202</t>
  </si>
  <si>
    <t>070807</t>
  </si>
  <si>
    <t>090212</t>
  </si>
  <si>
    <t>091103</t>
  </si>
  <si>
    <t>капітальні видатки за рахунок коштів, що передаються із загального фонду до бюджету розвитку (спеціального фонду)</t>
  </si>
  <si>
    <t>130115</t>
  </si>
  <si>
    <t>0317212</t>
  </si>
  <si>
    <t xml:space="preserve">Підтримка періодичних видань (газет та журналів)(міська програма підтримки газети Южноукраїнської міської ради "Контакт" на 2009 - 2014 роки - фінансова допомога на послуги друку, яка надавалась у 2012 році ) </t>
  </si>
  <si>
    <t xml:space="preserve">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 </t>
  </si>
  <si>
    <t>1011090</t>
  </si>
  <si>
    <t>1011220</t>
  </si>
  <si>
    <t>1011230</t>
  </si>
  <si>
    <t>1511060</t>
  </si>
  <si>
    <t>7518120</t>
  </si>
  <si>
    <t>2414200</t>
  </si>
  <si>
    <t>2414201</t>
  </si>
  <si>
    <t>2414202</t>
  </si>
  <si>
    <t>6717840</t>
  </si>
  <si>
    <t>1113132</t>
  </si>
  <si>
    <t xml:space="preserve">Реверсна дотація </t>
  </si>
  <si>
    <t>130102</t>
  </si>
  <si>
    <t>090406</t>
  </si>
  <si>
    <t>070303</t>
  </si>
  <si>
    <t>091205</t>
  </si>
  <si>
    <t>250344</t>
  </si>
  <si>
    <t>1513403</t>
  </si>
  <si>
    <t>Інші видатки на соціальний захист населення (надання одноразової матеріальної допомоги дітям військовослужбовців, які  загинули або померли внаслідок поранення, контузії чи каліцтва, одержаних при виконанні службових обов’язків на тимчасово окупованій території Автономної Республіки Крим, м.Севастополя та під час участі в антитерористичній  операції (АТО) на сході України на 2015 рік (за рахунок субвенції з обласного бюджету)</t>
  </si>
  <si>
    <t>210106</t>
  </si>
  <si>
    <t xml:space="preserve">Цільовий фонд Южноукраїнської міської ради для вирішення питань розвитку  інфраструктури міста </t>
  </si>
  <si>
    <t>250380</t>
  </si>
  <si>
    <t>7518800</t>
  </si>
  <si>
    <t>Інші субвенції</t>
  </si>
  <si>
    <t>7518801</t>
  </si>
  <si>
    <t>6717820</t>
  </si>
  <si>
    <t>Погашення заборгованості з різниці в тарифах на теплову енергію, опалення та постачання гарячої води, послуги з централізованого водопостачання, водовідведення, що вироблялися, транспортувалися та постачалися населенню та/або іншим підприємствам централізованого питного водопостачання та водовідведення, які надають населенню послуги з централізованого водопостачання та водовідведення, яка виникла у зв'язку з невідповідністю фактичної вартості теплової енергії та послуг з централізованого водопостачання, водовідведення, опалення та постачання гарячої води тарифам, що затверджувалися та/або погоджувалися органами державної влади чи місцевого самоврядування (одержувач  КП ТВКГ)</t>
  </si>
  <si>
    <t xml:space="preserve"> - за рахунок субвенції з обласного бюджету за рахунок коштів  державного бюджету</t>
  </si>
  <si>
    <t>Заходи у сфері захисту населення і територій від надзвичайних ситуацій техногенного та природного характеру</t>
  </si>
  <si>
    <t xml:space="preserve"> - освітньої субвенції з державного бюджету</t>
  </si>
  <si>
    <t xml:space="preserve"> -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</si>
  <si>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 за рахунок субвенції з державного бюджету на фінансування заходів соціально-економічної компенсації ризику населення, яке проживає на території зони спостереження</t>
  </si>
  <si>
    <t xml:space="preserve"> </t>
  </si>
  <si>
    <t>0310180</t>
  </si>
  <si>
    <t>1010180</t>
  </si>
  <si>
    <t>Інші освітні програми</t>
  </si>
  <si>
    <t>1011221</t>
  </si>
  <si>
    <t>1510180</t>
  </si>
  <si>
    <t>2010180</t>
  </si>
  <si>
    <t>4010180</t>
  </si>
  <si>
    <t>4019180</t>
  </si>
  <si>
    <t>4019181</t>
  </si>
  <si>
    <t>7510180</t>
  </si>
  <si>
    <t>2410180</t>
  </si>
  <si>
    <t>2419180</t>
  </si>
  <si>
    <t>2419182</t>
  </si>
  <si>
    <t>6710180</t>
  </si>
  <si>
    <t>081006</t>
  </si>
  <si>
    <t>Реалізація заходів щодо інвестиційного розвитку території (міська програма капітального будівництва об’єктів житлово - комунального господарства та соціальної інфраструктури в м.Южноукраїнську на 2016-2020 роки)</t>
  </si>
  <si>
    <t xml:space="preserve"> -міській програмі   капітального будівництва об'єктів житлово-комунального господарства та соціальної інфраструктури м. Южноукраїнська на 2016-2020 рр.</t>
  </si>
  <si>
    <t>Утримання та розвиток інфраструктури  доріг - всього, в тому числі:</t>
  </si>
  <si>
    <t xml:space="preserve"> - міська програма розвитку  дорожнього руху та його безпеки в місті Южноукраїнську  на 2013-2017 роки</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</si>
  <si>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 </t>
  </si>
  <si>
    <t>Організація рятування на водах (Утримання рятувального поста)</t>
  </si>
  <si>
    <r>
      <t>Інші освітні програми (міська програма розвитку освіти в м.Южноукраїнську на 2016-2020</t>
    </r>
    <r>
      <rPr>
        <i/>
        <sz val="14"/>
        <color indexed="10"/>
        <rFont val="Times New Roman"/>
        <family val="1"/>
      </rPr>
      <t xml:space="preserve"> </t>
    </r>
    <r>
      <rPr>
        <i/>
        <sz val="14"/>
        <rFont val="Times New Roman"/>
        <family val="1"/>
      </rPr>
      <t>роки)</t>
    </r>
  </si>
  <si>
    <t>Проведення навчально - тренувальних зборів і змагань з олімпійських видів спорту - всього,                                                                                        в тому числі:</t>
  </si>
  <si>
    <t>070501</t>
  </si>
  <si>
    <t>080201</t>
  </si>
  <si>
    <t>Спеціалізована стаціонарна медична допомога населенню - всього, в тому числі:</t>
  </si>
  <si>
    <t>1011100</t>
  </si>
  <si>
    <t>Підготовка робітничих кадрів закладами професійно-технічної освіти</t>
  </si>
  <si>
    <t xml:space="preserve"> -  міська програма реформування і розвитку житлово-комунального господарства міста Южноукраїнська на 2016-2020 роки </t>
  </si>
  <si>
    <t>Охорона та раціональне використання природних ресурсів, в тому числі по:</t>
  </si>
  <si>
    <t>2013110</t>
  </si>
  <si>
    <t>090802</t>
  </si>
  <si>
    <t>Заклади і заходи з питань дітей та їх соціального захисту</t>
  </si>
  <si>
    <t>2013112</t>
  </si>
  <si>
    <t xml:space="preserve"> - медичної субвенції з державного бюджету</t>
  </si>
  <si>
    <t xml:space="preserve"> - залишку коштів медичної субвенції з державного бюджету станом на 01.01.2016</t>
  </si>
  <si>
    <t xml:space="preserve"> - коштів міського бюджету</t>
  </si>
  <si>
    <t>0318370</t>
  </si>
  <si>
    <t>090501</t>
  </si>
  <si>
    <t>Організація та проведення громадських робіт (Міська програма зайнятості  населення міста Южноукраїнська на період до 2017 року в частині оплачуваних громадських робіт)</t>
  </si>
  <si>
    <t xml:space="preserve"> - залишку коштів субвенції з обласного бюджету за рахунок коштів  освітньої субвенції з державного бюджету</t>
  </si>
  <si>
    <t xml:space="preserve"> - залишку коштів медичної субвенції з обласного бюджету за рахунок коштів медичної субвеції з державного бюджету станом на 01.01.2016</t>
  </si>
  <si>
    <t xml:space="preserve">Субвенція з місцевого бюджету державному бюджету на виконання програм соціально-економічного та культурного розвитку регіонів (міська програма розвитку малого та середнього підприємництва в м.Южноукраїнську на 2015-2016 роки) </t>
  </si>
  <si>
    <t>Програми і заходи центрів соціальних служб для сім'ї, дітей та молоді (Міська комплексна програма  "Молоде покоління  м.Южноукраїнська" на 2016-2020 роки)</t>
  </si>
  <si>
    <t xml:space="preserve"> - міська програма розвитку дорожнього руху та його безпеки в місті Южноукраїнську на 2013-2017 роки  </t>
  </si>
  <si>
    <t xml:space="preserve"> - програма охорони довкілля та раціонального природокористування міста Южноукраїнська на 2016-2020 роки</t>
  </si>
  <si>
    <t xml:space="preserve"> - освітньої субвенції </t>
  </si>
  <si>
    <t xml:space="preserve"> - медичної субвенції</t>
  </si>
  <si>
    <t xml:space="preserve"> - міська комплексна програма  профілактики злочинності та вдосконалення системи захисту конституційних прав і свобод громадян в місті Южноукраїнську на 2016 рік</t>
  </si>
  <si>
    <t xml:space="preserve"> - міська програма Репродуктивне здоров'я населення міста Южноукраїнськ на 2016-2020 р.р</t>
  </si>
  <si>
    <t>180409</t>
  </si>
  <si>
    <t>Впровадження засобів обліку витрат та регулювання споживання води та теплової енергії (міська програма   капітального будівництва об'єктів житлово-комунального господарства та соціальної інфраструктури м. Южноукраїнська на 2016-2020 рр.)</t>
  </si>
  <si>
    <t>1512210</t>
  </si>
  <si>
    <t>1512211</t>
  </si>
  <si>
    <t>1512215</t>
  </si>
  <si>
    <t>1519180</t>
  </si>
  <si>
    <t>1519181</t>
  </si>
  <si>
    <t>1512212</t>
  </si>
  <si>
    <t>1512213</t>
  </si>
  <si>
    <t>1512214</t>
  </si>
  <si>
    <t>Забезпечення надійного та безперебійного функціонування житлово-експлуатаційного господарства - всього, в тому числі</t>
  </si>
  <si>
    <t xml:space="preserve"> - міська програма реформування і розвитку житлово - комунального господарства міста Южноукраїнська на 2016-2020 роки </t>
  </si>
  <si>
    <t xml:space="preserve"> -  міська програма управління  майном комунальної форми власності  міста Южноукраїнська на 2015-2019 роки</t>
  </si>
  <si>
    <t xml:space="preserve"> - міська програма управління  майном комунальної форми власності  міста Южноукраїнська на 2015-2019 роки </t>
  </si>
  <si>
    <t xml:space="preserve"> - міська програма приватизації об"єктів, що належать до комунальної власності територіальної громади міста Южноукраїнська на 2015-2017 роки</t>
  </si>
  <si>
    <t>6010180</t>
  </si>
  <si>
    <t>Внески до статутного капіталу суб'єктів господарювання (міська програма управління  майном комунальної форми власності  міста Южноукраїнська на 2015-2019 роки в частині фінансової допомоги комунальним підприємствам, в тому числі внески в статутний фонд комунального підприємства "Служба комунальних лабораторій" для придбання обладнання )</t>
  </si>
  <si>
    <t xml:space="preserve"> - міська Цільова  програма  захисту  населення і територій від надзвичайних ситуацій техногенного та природного характеру на 2014-2017 роки</t>
  </si>
  <si>
    <t>Субвенція з місцевого бюджету державному бюджету на виконання програм соціально-економічного та культурного розвитку регіонів ,                                             в тому числі:</t>
  </si>
  <si>
    <t>6718370</t>
  </si>
  <si>
    <t>4017470</t>
  </si>
  <si>
    <t xml:space="preserve"> -  субвенції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</si>
  <si>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Надання фінансової підтримки громадським організаціям інвалідів і ветеранів, діяльність яких має соціальну спрямованість - всього, в тому числі:</t>
  </si>
  <si>
    <t>1513240</t>
  </si>
  <si>
    <t xml:space="preserve"> - субвенції за рахунок залишку коштів освітньої субвенції з державного бюджету місцевим бюджетам, що утворився на початок бюджетного періоду</t>
  </si>
  <si>
    <t>1013240</t>
  </si>
  <si>
    <t>Цільові фонди, утворені Верховною Радою Автономної Республіки Крим, органами місцевого самоврядування і місцевими органами виконавчої влади  - всього, в тому числі:</t>
  </si>
  <si>
    <t>1519182</t>
  </si>
  <si>
    <t>Цільові фонди, утворені Верховною Радою Автономної Республіки Крим, органами місцевого самоврядування і місцевими органами виконавчої влади (міська програма боротьби з онкологічними захворюваннями в місті Южноукраїнську на пероід до 2016 року)</t>
  </si>
  <si>
    <t xml:space="preserve"> Цільові фонди, утворені Верховною Радою Автономної Республіки Крим, органами місцевого самоврядування і місцевими органами виконавчої влади (міська програма  розвитку донорства крові  та її компонентів на 2012-2016 роки)</t>
  </si>
  <si>
    <t>4013240</t>
  </si>
  <si>
    <t>4011020</t>
  </si>
  <si>
    <t>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t>
  </si>
  <si>
    <t>7518420</t>
  </si>
  <si>
    <t>250366</t>
  </si>
  <si>
    <t>7518440</t>
  </si>
  <si>
    <t xml:space="preserve">Субвенція з державного бюджету місцевим бюджетам на здійснення фінансування заходів щодо соціально-економічного розвитку окремих територій </t>
  </si>
  <si>
    <t>Начальник фінансового управління Южноукраїнської міської ради</t>
  </si>
  <si>
    <t>Т.О.Гончарова</t>
  </si>
  <si>
    <t xml:space="preserve"> - за рахунок субвенції на здійснення заходів щодо соціально-економічного розвитку окремих територій</t>
  </si>
  <si>
    <t xml:space="preserve"> - стабілізаційна дотація</t>
  </si>
  <si>
    <t xml:space="preserve"> - міська програма підтримки об'єднань співвласників багатоквартирних будинків на 2016-2018 роки </t>
  </si>
  <si>
    <t xml:space="preserve"> - за рахунок субвенції на фінансування заходів соціально-економічної компенсації ризику населення, яке проживає на території  зони спостереження</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</si>
  <si>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2016 рік"</t>
  </si>
  <si>
    <t xml:space="preserve"> - кошти міського бюджету на співфінансування з обласним бюджетом на  проведення видатків з капітального ремонту інженерних мереж гуртожитку №8 за адресою: вул. Дружби Народів,1</t>
  </si>
  <si>
    <t>4011010</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</si>
  <si>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роки</t>
  </si>
  <si>
    <t xml:space="preserve">Цільовий фонд Южноукраїнської міської ради для вирішення питань розвитку інфраструктури міста </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</si>
  <si>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2016 рік"</t>
  </si>
  <si>
    <t>0317450</t>
  </si>
  <si>
    <t>Сприяння розвиту малого та середнього підприємництва</t>
  </si>
  <si>
    <t xml:space="preserve"> - міська програма розвитку малого та середнього підприємництва в частині проведення міського конкурсу "Краще нововрічне оформлення об'єктів торгівлі та сфери побуту"</t>
  </si>
  <si>
    <t>0318602</t>
  </si>
  <si>
    <t xml:space="preserve"> - субвенція з обласного бюджету за рахунок коштів освітньої субвенції з державного бюджету</t>
  </si>
  <si>
    <t xml:space="preserve"> - кошти міського бюджету</t>
  </si>
  <si>
    <t xml:space="preserve"> - субвенція з обласного бюджету місцевим бюджетам на виконання депутатами обласної ради доручень виборців  відповідно до програм, затверджених обласною радою на 2016 рік</t>
  </si>
  <si>
    <t xml:space="preserve"> -  субвенції з державного бюджету місцевим бюджетам на будівництво (придбання) житла для сімей загиблих військовослужбовців, які брали безпосередню участь в антитерористичній операції, а також для інвалідів I - II групи з числа військовослужбовців, які брали участь у зазначеній операції, та потребують поліпшення житлових умов</t>
  </si>
  <si>
    <t xml:space="preserve"> - субвенція з обласного бюджету</t>
  </si>
  <si>
    <r>
      <t xml:space="preserve">Виконавчий комітет Южноукраїнської міської ради </t>
    </r>
    <r>
      <rPr>
        <i/>
        <sz val="14"/>
        <rFont val="Times New Roman"/>
        <family val="1"/>
      </rPr>
      <t xml:space="preserve">(відповідальний виконавець) </t>
    </r>
  </si>
  <si>
    <r>
      <t xml:space="preserve">Виконавчий комітет Южноукраїнської міської ради </t>
    </r>
    <r>
      <rPr>
        <i/>
        <sz val="14"/>
        <rFont val="Times New Roman"/>
        <family val="1"/>
      </rPr>
      <t>(головний розпорядник)</t>
    </r>
  </si>
  <si>
    <r>
      <t xml:space="preserve">Управління освіти Южноукраїнської міської ради </t>
    </r>
    <r>
      <rPr>
        <i/>
        <sz val="14"/>
        <rFont val="Times New Roman"/>
        <family val="1"/>
      </rPr>
      <t xml:space="preserve">(відповідальний виконавець) </t>
    </r>
  </si>
  <si>
    <r>
      <t>Управління освіти Южноукраїнської міської ради</t>
    </r>
    <r>
      <rPr>
        <i/>
        <sz val="14"/>
        <rFont val="Times New Roman"/>
        <family val="1"/>
      </rPr>
      <t xml:space="preserve"> (головний розпорядник)</t>
    </r>
  </si>
  <si>
    <r>
      <t>Южноукраїнський міський центр соціальних служб для сім'ї, дітей та молоді</t>
    </r>
    <r>
      <rPr>
        <i/>
        <sz val="14"/>
        <rFont val="Times New Roman"/>
        <family val="1"/>
      </rPr>
      <t xml:space="preserve"> (відповідальний виконавець) </t>
    </r>
  </si>
  <si>
    <r>
      <t xml:space="preserve">Южноукраїнський міський центр соціальних служб для сім'ї, дітей та молоді </t>
    </r>
    <r>
      <rPr>
        <i/>
        <sz val="14"/>
        <rFont val="Times New Roman"/>
        <family val="1"/>
      </rPr>
      <t>(головний розпорядник)</t>
    </r>
  </si>
  <si>
    <r>
      <t>Управління  соціального захисту населення, охорони здоров'я та праці Южноукраїнської міської ради</t>
    </r>
    <r>
      <rPr>
        <i/>
        <sz val="14"/>
        <rFont val="Times New Roman"/>
        <family val="1"/>
      </rPr>
      <t xml:space="preserve"> (відповідальний виконавець) </t>
    </r>
  </si>
  <si>
    <r>
      <t xml:space="preserve">Управління  соціального захисту населення, охорони здоров'я та праці  Южноукраїнської міської ради </t>
    </r>
    <r>
      <rPr>
        <i/>
        <sz val="14"/>
        <rFont val="Times New Roman"/>
        <family val="1"/>
      </rPr>
      <t>(головний розпорядник)</t>
    </r>
  </si>
  <si>
    <r>
      <t xml:space="preserve">Фінансове  управління Южноукраїнської міської ради </t>
    </r>
    <r>
      <rPr>
        <i/>
        <sz val="14"/>
        <rFont val="Times New Roman"/>
        <family val="1"/>
      </rPr>
      <t>(головний розпорядник)</t>
    </r>
  </si>
  <si>
    <r>
      <rPr>
        <b/>
        <sz val="14"/>
        <rFont val="Times New Roman"/>
        <family val="1"/>
      </rPr>
      <t>Фінансове управління Южноукраїнської міської ради</t>
    </r>
    <r>
      <rPr>
        <i/>
        <sz val="14"/>
        <rFont val="Times New Roman"/>
        <family val="1"/>
      </rPr>
      <t xml:space="preserve"> (відповідальний виконавець) </t>
    </r>
  </si>
  <si>
    <r>
      <t xml:space="preserve">Управління молоді, спорту та культури Южноукраїнської міської ради </t>
    </r>
    <r>
      <rPr>
        <i/>
        <sz val="14"/>
        <rFont val="Times New Roman"/>
        <family val="1"/>
      </rPr>
      <t xml:space="preserve">(відповідальний виконавець) </t>
    </r>
  </si>
  <si>
    <r>
      <t>Управління молоді, спорту та культури Южноукраїнської міської ради</t>
    </r>
    <r>
      <rPr>
        <i/>
        <sz val="14"/>
        <rFont val="Times New Roman"/>
        <family val="1"/>
      </rPr>
      <t xml:space="preserve"> (головний розпорядник)</t>
    </r>
  </si>
  <si>
    <r>
      <t xml:space="preserve">Управління екології, охорони навколишнього середовища та земельних відносин Южноукраїнської міської ради </t>
    </r>
    <r>
      <rPr>
        <i/>
        <sz val="14"/>
        <rFont val="Times New Roman"/>
        <family val="1"/>
      </rPr>
      <t xml:space="preserve">(відповідальний виконавець)   </t>
    </r>
  </si>
  <si>
    <r>
      <t xml:space="preserve">Управління екології, охорони навколишнього середовища та земельних відносин Южноукраїнської міської ради </t>
    </r>
    <r>
      <rPr>
        <i/>
        <sz val="14"/>
        <rFont val="Times New Roman"/>
        <family val="1"/>
      </rPr>
      <t>(головний розпорядник)</t>
    </r>
  </si>
  <si>
    <t xml:space="preserve"> - субвенція з обласного бюджету за рахунок коштів медичної субвенції з державного бюджету місцевим бюджетам)</t>
  </si>
  <si>
    <t xml:space="preserve">Дошкільна освiта, в тому числі                                                                      </t>
  </si>
  <si>
    <t>Код ТПКВКМБ /
ТКВКБМС</t>
  </si>
  <si>
    <t>Код ФКВКБ</t>
  </si>
  <si>
    <t xml:space="preserve"> - міська програма інформаційної підтримки розвитку міста та діяльності органів місцевого самоврядування на 2017 -2018 роки)</t>
  </si>
  <si>
    <t xml:space="preserve"> - міська програма "Наше місто"на 2015-2019 роки)</t>
  </si>
  <si>
    <t xml:space="preserve"> - міська програма щодо організації мобілізаційної роботи в м.Южноукраїнську на 2014-2017 роки)</t>
  </si>
  <si>
    <t xml:space="preserve"> - міська програма  розвитку донорства крові  та її компонентів на 2017-2021 роки</t>
  </si>
  <si>
    <t>Централізовані заходи з лікування онкологічних хворих (Міська програма боротьби з онкологічними захворюваннями в м.Южноукраїнську на період до 2017-2020 року)</t>
  </si>
  <si>
    <t>Зааходи державної політики з питань дітей та їх соціального захисту (міська Програма захисту прав дітей міста Южноукраїнська "Дитинство"на 2013-2017 рік)</t>
  </si>
  <si>
    <t>110204</t>
  </si>
  <si>
    <t>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 (міська програма інформаційної підтримки розвитку міста та діяльності органів місцевого самоврядування на 2017-2018 роки)</t>
  </si>
  <si>
    <t>0180</t>
  </si>
  <si>
    <t>0111</t>
  </si>
  <si>
    <t>7210</t>
  </si>
  <si>
    <t>7214</t>
  </si>
  <si>
    <t>0830</t>
  </si>
  <si>
    <t>6310</t>
  </si>
  <si>
    <t>0490</t>
  </si>
  <si>
    <t>7420</t>
  </si>
  <si>
    <t>7450</t>
  </si>
  <si>
    <t>0411</t>
  </si>
  <si>
    <t>7212</t>
  </si>
  <si>
    <t>0821</t>
  </si>
  <si>
    <t>8020</t>
  </si>
  <si>
    <t>0160</t>
  </si>
  <si>
    <t>Проведення місцевих виборів (субвенція з обласного бюджету)</t>
  </si>
  <si>
    <t>8370</t>
  </si>
  <si>
    <t>8600</t>
  </si>
  <si>
    <t>8601</t>
  </si>
  <si>
    <t>8602</t>
  </si>
  <si>
    <t>0318510</t>
  </si>
  <si>
    <t>8510</t>
  </si>
  <si>
    <t>1010</t>
  </si>
  <si>
    <t>0910</t>
  </si>
  <si>
    <t xml:space="preserve">Надання загальної середньої освіти загальноосвітніми навчальними закладами ( в т.ч. школою-дитячим садком,інтернатом при школі), спеціалізованими школами, ліцеями, гімназіями, колегіумами  - всього,                                     в тому числі за рахунок:                                               </t>
  </si>
  <si>
    <t>1020</t>
  </si>
  <si>
    <t>0921</t>
  </si>
  <si>
    <t>1090</t>
  </si>
  <si>
    <t>0960</t>
  </si>
  <si>
    <t>1170</t>
  </si>
  <si>
    <t>0990</t>
  </si>
  <si>
    <t>1190</t>
  </si>
  <si>
    <t>1200</t>
  </si>
  <si>
    <t>1210</t>
  </si>
  <si>
    <t>1220</t>
  </si>
  <si>
    <t>1221</t>
  </si>
  <si>
    <t>1230</t>
  </si>
  <si>
    <t>1019180</t>
  </si>
  <si>
    <t>9180</t>
  </si>
  <si>
    <t>0133</t>
  </si>
  <si>
    <t>3240</t>
  </si>
  <si>
    <t>1070</t>
  </si>
  <si>
    <t>3130</t>
  </si>
  <si>
    <t>3131</t>
  </si>
  <si>
    <t>1040</t>
  </si>
  <si>
    <t>3132</t>
  </si>
  <si>
    <t>1060</t>
  </si>
  <si>
    <t>2220</t>
  </si>
  <si>
    <t>0763</t>
  </si>
  <si>
    <t>1512221</t>
  </si>
  <si>
    <t>1512222</t>
  </si>
  <si>
    <t>1512223</t>
  </si>
  <si>
    <t>1512224</t>
  </si>
  <si>
    <t>2221</t>
  </si>
  <si>
    <t>2222</t>
  </si>
  <si>
    <t>2223</t>
  </si>
  <si>
    <t>2224</t>
  </si>
  <si>
    <t>2210</t>
  </si>
  <si>
    <t>2211</t>
  </si>
  <si>
    <t>2212</t>
  </si>
  <si>
    <t>2213</t>
  </si>
  <si>
    <t>2214</t>
  </si>
  <si>
    <t>2215</t>
  </si>
  <si>
    <t>3010</t>
  </si>
  <si>
    <t>3012</t>
  </si>
  <si>
    <t>1030</t>
  </si>
  <si>
    <t>3013</t>
  </si>
  <si>
    <t>3016</t>
  </si>
  <si>
    <t>3015</t>
  </si>
  <si>
    <t xml:space="preserve">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 (субвенція з державного бюджету) </t>
  </si>
  <si>
    <t xml:space="preserve">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 (субвенція з державного бюджету)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</si>
  <si>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 (субвенція з державного бюджету) </t>
  </si>
  <si>
    <t xml:space="preserve">Надання пільг багатодітним сім’ям на житлово-комунальні послуги  (субвенція з державного бюджету) </t>
  </si>
  <si>
    <t xml:space="preserve">Надання субсидій населенню для відшкодування витрат на оплату житлово-комунальних послуг (субвенція з державного бюджету) </t>
  </si>
  <si>
    <t xml:space="preserve">Компенсація населенню додаткових витрат на оплату послуг газопостачання, центрального опалення та централізованого постачання гарячої води (субвенція з державного бюджету) </t>
  </si>
  <si>
    <t xml:space="preserve">Надання пільг та субсидій населенню на придбання твердого та рідкого пічного побутового палива і скрапленого газу (субвенція з державного бюджету) </t>
  </si>
  <si>
    <t xml:space="preserve">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 (субвенція з державного бюджету) </t>
  </si>
  <si>
    <t>3017</t>
  </si>
  <si>
    <t>3021</t>
  </si>
  <si>
    <t>1513022</t>
  </si>
  <si>
    <t>3022</t>
  </si>
  <si>
    <t>3023</t>
  </si>
  <si>
    <t xml:space="preserve">Надання субсидій населенню для відшкодування витрат на придбання твердого та рідкого пічного побутового палива і скрапленого газу  (субвенція з державного бюджету) </t>
  </si>
  <si>
    <t>3026</t>
  </si>
  <si>
    <t>3030</t>
  </si>
  <si>
    <t xml:space="preserve">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 (субвенція з державного бюджету) </t>
  </si>
  <si>
    <t>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 (субвенція)</t>
  </si>
  <si>
    <t>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t>
  </si>
  <si>
    <t>3035</t>
  </si>
  <si>
    <t xml:space="preserve"> - міська комплексна програма "Турбота" на 2013 - 2017 роки</t>
  </si>
  <si>
    <t>3037</t>
  </si>
  <si>
    <t>3040</t>
  </si>
  <si>
    <t xml:space="preserve">Надання допомоги у зв’язку з вагітністю і пологами  (субвенція з державного бюджету) </t>
  </si>
  <si>
    <t xml:space="preserve">Надання допомоги сім'ям з дітьми, малозабезпеченим сім'ям, інвалідам з дитинства,  дітям - інвалідам та тимчасової державної допомоги дітям (субвенція з державного бюджету) </t>
  </si>
  <si>
    <t xml:space="preserve">Надання допомоги при народженні дитини (субвенція з державного бюджету) </t>
  </si>
  <si>
    <t>3041</t>
  </si>
  <si>
    <t>3042</t>
  </si>
  <si>
    <t>3043</t>
  </si>
  <si>
    <t>3044</t>
  </si>
  <si>
    <t>3045</t>
  </si>
  <si>
    <t>3046</t>
  </si>
  <si>
    <t>3047</t>
  </si>
  <si>
    <t>3048</t>
  </si>
  <si>
    <t>3049</t>
  </si>
  <si>
    <t>3050</t>
  </si>
  <si>
    <t xml:space="preserve">Надання допомоги на дітей, над якими встановлено опіку чи піклування (субвенція з державного бюджету) </t>
  </si>
  <si>
    <t xml:space="preserve">Надання тимчасової державної допомоги дітям  (субвенція з державного бюджету) </t>
  </si>
  <si>
    <t xml:space="preserve">Надання допомоги при усиновленні дитини (субвенція з державного бюджету) </t>
  </si>
  <si>
    <t xml:space="preserve">Надання державної соціальної допомоги малозабезпеченим сім’ям (субвенція з державного бюджету) </t>
  </si>
  <si>
    <t xml:space="preserve">Надання державної соціальної допомоги інвалідам з дитинства та дітям-інвалідам  (субвенція з державного бюджету) </t>
  </si>
  <si>
    <t>3080</t>
  </si>
  <si>
    <t xml:space="preserve">Надання допомоги на догляд за інвалідом І чи ІІ групи внаслідок психічного розладу (субвенція з державного бюджету) </t>
  </si>
  <si>
    <t>3090</t>
  </si>
  <si>
    <t>3104</t>
  </si>
  <si>
    <t>Забезпечення соціальними послугами за місцем проживання громадян, які не здатні до самообслуговування у зв'язку з похилим віком, хворобою, інвалідністю (утримання комунального закладу "Територіальний центр соціального обслуговування (надання соціальних послуг) м.Южноукраїнськ)</t>
  </si>
  <si>
    <t>3181</t>
  </si>
  <si>
    <t>3180</t>
  </si>
  <si>
    <t>3182</t>
  </si>
  <si>
    <t>Компенсаційні виплати інвалідам на бензин, ремонт, технічне обслуговування  автомобілів, мотоколясок і на транспортне обслуговування  (субвенція з обласного бюджету)</t>
  </si>
  <si>
    <t>3183</t>
  </si>
  <si>
    <t>3190</t>
  </si>
  <si>
    <t>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 - всього, в тому числі:</t>
  </si>
  <si>
    <t xml:space="preserve"> - міська комплексна програма "Турбота" на 2013 - 2017 роки </t>
  </si>
  <si>
    <t>3200</t>
  </si>
  <si>
    <t>3201</t>
  </si>
  <si>
    <t>3202</t>
  </si>
  <si>
    <t>Інші видатки  на соціальний захист ветеранів війни та праці - всього, в тому числі:</t>
  </si>
  <si>
    <t>3400</t>
  </si>
  <si>
    <t>3401</t>
  </si>
  <si>
    <t>3402</t>
  </si>
  <si>
    <t>1050</t>
  </si>
  <si>
    <t>3110</t>
  </si>
  <si>
    <t>3112</t>
  </si>
  <si>
    <t>6010</t>
  </si>
  <si>
    <t>0610</t>
  </si>
  <si>
    <t>6020</t>
  </si>
  <si>
    <t>6021</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</si>
  <si>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2016-2020рр.</t>
  </si>
  <si>
    <t>6050</t>
  </si>
  <si>
    <t>0620</t>
  </si>
  <si>
    <t xml:space="preserve"> - міська програма енергозбереження в сфері житлово - комунального господарства м.Южноукраїнська   на 2016-2020 роки</t>
  </si>
  <si>
    <t>6052</t>
  </si>
  <si>
    <t>6060</t>
  </si>
  <si>
    <t>6100</t>
  </si>
  <si>
    <t>6650</t>
  </si>
  <si>
    <t>0456</t>
  </si>
  <si>
    <t>8010</t>
  </si>
  <si>
    <t>8120</t>
  </si>
  <si>
    <t>4060</t>
  </si>
  <si>
    <t>0824</t>
  </si>
  <si>
    <t>4070</t>
  </si>
  <si>
    <t>2414090</t>
  </si>
  <si>
    <t>4090</t>
  </si>
  <si>
    <t>0828</t>
  </si>
  <si>
    <t>4100</t>
  </si>
  <si>
    <t>4200</t>
  </si>
  <si>
    <t>0829</t>
  </si>
  <si>
    <t>4201</t>
  </si>
  <si>
    <t>4202</t>
  </si>
  <si>
    <t>3140</t>
  </si>
  <si>
    <t>5000</t>
  </si>
  <si>
    <t>5010</t>
  </si>
  <si>
    <t>5011</t>
  </si>
  <si>
    <t>0810</t>
  </si>
  <si>
    <t>5012</t>
  </si>
  <si>
    <t>5060</t>
  </si>
  <si>
    <t xml:space="preserve"> Утримання та навчально-тренувальна робота комунальних дитячо-юнацьких спортивних шкіл</t>
  </si>
  <si>
    <t>9110</t>
  </si>
  <si>
    <t>0511</t>
  </si>
  <si>
    <t>6017420</t>
  </si>
  <si>
    <t>6019110</t>
  </si>
  <si>
    <t>7100</t>
  </si>
  <si>
    <t>0380</t>
  </si>
  <si>
    <t>7101</t>
  </si>
  <si>
    <t>7840</t>
  </si>
  <si>
    <t>0320</t>
  </si>
  <si>
    <t>7810</t>
  </si>
  <si>
    <t>7820</t>
  </si>
  <si>
    <t>0220</t>
  </si>
  <si>
    <t>6719180</t>
  </si>
  <si>
    <t>Реалізація заходів щодо інвестиційного розвитку території (кошти міського бюджету розвитку на фінансування об'єктів за напрямами та заходами, що будуть визначені рішеннями міської ради при внесенні змін до бюджету міста Южноукраїнська на 2017 рік )</t>
  </si>
  <si>
    <t>7518600</t>
  </si>
  <si>
    <t>Керівництво і управління у відповідній сфері  у містах республіканського Автономного Республіки Крим та обласного значення,                                                                                  в тому числі:</t>
  </si>
  <si>
    <t>Керівництво і управління увідповідній сфері освіти у містах республіканського Автономного Республіки Крим та обласного значення  (утримання управління освіти Южноукраїнської міської ради)</t>
  </si>
  <si>
    <t>Керівництво і управління у відповідній сфері соціального захисту населення у містах республіканського Автономного Республіки Крим та обласного значення (утримання управління праці та соціального захисту населення Южноукраїнської міської ради)</t>
  </si>
  <si>
    <t>Керівництво і управління у відповідній сфері соціального захисту у містах республіканського Автономного Республіки Крим та обласного значення(утримання служби у справах дітей Южноукраїнської міської ради)</t>
  </si>
  <si>
    <t>Керівництво і управління у відповідній сфері житлово-комунального господарства у містах республіканського Автономного Республіки Крим та обласного значення  (утримання управління житлово-комунального господарства та будівництва Южноукраїнської міської ради)</t>
  </si>
  <si>
    <t>Керівництво і управління у відповідній сфері надзвичайних ситуацій, мобілізаційної роботи та взаємодії з правоохоронними органами у містах республіканського Автономного Республіки Крим та обласного значення (утримання Управління екології, охорони навколишнього середовища та земельних відносин Южноукраїнської міської ради)</t>
  </si>
  <si>
    <t>Керівництво і управління у відповідній сфері фінансів у містах республіканського Автономного Республіки Крим та обласного значення (утримання фінансового управління Южноукраїнської міської ради)</t>
  </si>
  <si>
    <t xml:space="preserve"> - міська соціальна програма Підтримки учасиків АТО та членів їх сімей на 2016-2020 року</t>
  </si>
  <si>
    <t xml:space="preserve"> - міська соціальна програма підтримки учаснииків АТО та членів їх сімей - "Воїни та ветерани антитерористичної операції" </t>
  </si>
  <si>
    <t xml:space="preserve"> - міська соціальна програма підтримки учасників АТО та членів їх сімей на 2016-2020 року</t>
  </si>
  <si>
    <t>Забезпечення функціонування водопровідно-каналізаційного господарства,                                                              в тому числі по:</t>
  </si>
  <si>
    <t>4016022</t>
  </si>
  <si>
    <t>100106</t>
  </si>
  <si>
    <t>Капітальний ремонт  житлового фонду об'єднань співвласників багатоквартирних будинків ( міська програма підтримки об'єднань співвласників багатоквартирних будинків на 2016-2018 роки )</t>
  </si>
  <si>
    <t>7310</t>
  </si>
  <si>
    <t>6017310</t>
  </si>
  <si>
    <t>160101</t>
  </si>
  <si>
    <t xml:space="preserve">Забезпечення належних умов для виховання та розвитку дітей-сиріт і дітей, позбавлених батьківського піклування, в дитячих будинках сімейного типу(у т.ч. сімейного типу, прийомних сім*ях),  в сім*ях патронатного вихователя (за рахунок субвенції з державного бюджету) </t>
  </si>
  <si>
    <t>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t>
  </si>
  <si>
    <t>2413143</t>
  </si>
  <si>
    <t>3143</t>
  </si>
  <si>
    <t>2415061</t>
  </si>
  <si>
    <t>5061</t>
  </si>
  <si>
    <t>Інші заходи з розвитку фізичної культури та спорту</t>
  </si>
  <si>
    <t>Забезпечення діяльності місцевих центрів фізичного здоро*я населення "Спорт для всіх" та проведення фізкультурно - масових заходів серед населення регіону (програма розвитку культури, фізичної культури, спорту та туризму в м.Южноукраїнську на 2014-2018 роки )</t>
  </si>
  <si>
    <t xml:space="preserve">Реалізація державної політики у молодіжній сфері </t>
  </si>
  <si>
    <r>
      <t xml:space="preserve">Управління з питань надзвичайних ситуацій та взаємодії з правоохоронними органами Южноукраїнської міської ради </t>
    </r>
    <r>
      <rPr>
        <i/>
        <sz val="14"/>
        <rFont val="Times New Roman"/>
        <family val="1"/>
      </rPr>
      <t xml:space="preserve"> (головний розпорядник)</t>
    </r>
  </si>
  <si>
    <r>
      <t xml:space="preserve">Управління з питань надзвичайних ситуацій та взаємодії з правоохоронними органами Южноукраїнської міської ради </t>
    </r>
    <r>
      <rPr>
        <i/>
        <sz val="14"/>
        <rFont val="Times New Roman"/>
        <family val="1"/>
      </rPr>
      <t xml:space="preserve">(відповідальний виконавець) </t>
    </r>
  </si>
  <si>
    <t>Керівництво і управління у відповідній сфері надзвичайних ситуацій, мобілізаційної роботи та взаємодії з правоохоронними органами у містах республіканського Автономного Республіки Крим та обласного значення (утримання управління з питань надзвичайних ситуацій та взаємодії з правоохоронними органами Южноукраїнської міської ради)</t>
  </si>
  <si>
    <t>Інші заходи та заклади  молодіжної політики(міська комплексна програма "Молоде покоління міста Южноукраїнська" на 2016-2020 роки )</t>
  </si>
  <si>
    <t>091105</t>
  </si>
  <si>
    <t>Проведення заходів із землеустрою (міська програма "Розвиток земельних відносин на 2017-2021 роки" )</t>
  </si>
  <si>
    <t>Програма стабілізації та соціально-економічного розвитку територій  (міська програма "Розвиток земельних відносин на 2017-2021 роки" )</t>
  </si>
  <si>
    <t xml:space="preserve"> - міська програма  "Фонд міської ради на виконання депутатських повноважень" на 2017 рік </t>
  </si>
  <si>
    <t xml:space="preserve"> - міська комплексна програма "Турбота" на 2013 - 2017 роки - "Рада організації ветеранів війни, праці та військової служби";  "Спілка ветеранів Афганістану"; Товариство інвалідів;  Спілка "Союз-Чорнобиль"</t>
  </si>
  <si>
    <t xml:space="preserve">Видатки на поховання учасників бойових дій  та інвалідів війни (субвенція з обласного бюджету) </t>
  </si>
  <si>
    <t xml:space="preserve">Пільгове медичне обслуговування осіб, які постраждали внаслідок Чорнобильської катастрофи  (субвенція з обласного бюджету) </t>
  </si>
  <si>
    <t>2415030</t>
  </si>
  <si>
    <t>5030</t>
  </si>
  <si>
    <t>Розвиток дитячо-юнацького та резервного спорту</t>
  </si>
  <si>
    <t>2415031</t>
  </si>
  <si>
    <t>5031</t>
  </si>
  <si>
    <t xml:space="preserve">Надання допомоги на догляд за дитиною віком до трьох років (субвенція з державного бюджету) </t>
  </si>
  <si>
    <t>7518601</t>
  </si>
  <si>
    <t>3011</t>
  </si>
  <si>
    <t>Встановлення телефонів інвалідам І і ІІ груп (субвенція з обласного бюджету)</t>
  </si>
  <si>
    <t>Компенсаційні виплати за пільговий проїзд окремим категоріям громадян на залізничному транспорті</t>
  </si>
  <si>
    <t>3100</t>
  </si>
  <si>
    <t>3020</t>
  </si>
  <si>
    <t>0740</t>
  </si>
  <si>
    <t>1513033</t>
  </si>
  <si>
    <t>3033</t>
  </si>
  <si>
    <t>Інші видатки на соціальний захист населення , в тому числі:</t>
  </si>
  <si>
    <t xml:space="preserve"> -  за рахунок субвенції з обласного бюджет</t>
  </si>
  <si>
    <t>0421</t>
  </si>
  <si>
    <t>Благоустрій  міст, сіл, селищ (Програма охорони довкілля та раціонального природокористування міста Южноукраїнська на 2016-2020 роки)</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</si>
  <si>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</si>
  <si>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1516320</t>
  </si>
  <si>
    <t>6320</t>
  </si>
  <si>
    <t>1516324</t>
  </si>
  <si>
    <t>6324</t>
  </si>
  <si>
    <t>Надання допомоги у вирішенні житлових питань</t>
  </si>
  <si>
    <t>4016051</t>
  </si>
  <si>
    <t>6051</t>
  </si>
  <si>
    <t>Забезпечення функціонування теплових мереж (міській програмі   капітального будівництва об'єктів житлово-комунального господарства та соціальної інфраструктури м. Южноукраїнська на 2016-2020 рр.)</t>
  </si>
  <si>
    <t>9181</t>
  </si>
  <si>
    <t xml:space="preserve"> - міська програма реформування і розвитку житлово - комунального господарства міста Южноукраїнська на 2016 - 2020 роки</t>
  </si>
  <si>
    <t xml:space="preserve"> - міська програма поводження з твердими побутовими відходами на території міста Южноукраїнська на 2013 - 2020 роки </t>
  </si>
  <si>
    <t xml:space="preserve"> - міська  програма охорони тваринного світу та регулювання чисельності бродячих тварин в місті  Южноукраїнську на 2017-2021 роки </t>
  </si>
  <si>
    <t xml:space="preserve"> - міська програма капітального будівництва об'єктів житлово-комунального господарства та соціальної інфраструктури м. Южноукраїнська на 2016-2020 рр.</t>
  </si>
  <si>
    <t xml:space="preserve"> - міська програма Питна вода  міста  Южноукраїнська на 2007-2020 роки</t>
  </si>
  <si>
    <t xml:space="preserve"> - міська програма реформування і розвитку житлово-комунального господарства міста Южноукраїнська на 2016-2020 роки </t>
  </si>
  <si>
    <t xml:space="preserve"> - міська програма капітального будівництва об"єктів житлово-комунального господарства  і соціальної інфраструктури м.Южноукраїнську на 2016-2020 роки)</t>
  </si>
  <si>
    <t>6016060</t>
  </si>
  <si>
    <t>Будівництво на придбання житла для окремих категорій населення (міська соціальна програма підтримки учасників АТО та членів їх сімей на 2016-2020 року в частині співфінансування з обласним бюджетом для придбання житла для сімей учасників бойових дій, які безпосередньо приймали участь в АТО)</t>
  </si>
  <si>
    <t xml:space="preserve"> - міська комплексна програма "Профілактика злочинності та вдосконалення системи захисту конституційних прав і свобод громадян в місті Южноукраїнську на 2017-2021 роки</t>
  </si>
  <si>
    <t>Інші видатки</t>
  </si>
  <si>
    <t>6330</t>
  </si>
  <si>
    <t>- міська програма Капітального будівництва об'єктів житлово-комунального господарства та соціальної інфраструктури м. Южноукраїнська на 2016-2020 роки</t>
  </si>
  <si>
    <t>2415000</t>
  </si>
  <si>
    <t>Програма і централізовані заходи з імунопрофілактики (Міська програма імунопрофілактики та захисту населення від інфекційних хвороб на 2016-2020 роки)</t>
  </si>
  <si>
    <t>Програма і централізовані заходи боротьби з туберкульозом (Міська Соціальна програма протидії  захворюванню на туберкульоз на 2014 - 2017 роки)</t>
  </si>
  <si>
    <t>Надання інших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 всього, в тому числі:</t>
  </si>
  <si>
    <t>1513031</t>
  </si>
  <si>
    <t>3031</t>
  </si>
  <si>
    <t>1513034</t>
  </si>
  <si>
    <t>3034</t>
  </si>
  <si>
    <t>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всього, в тому числі:</t>
  </si>
  <si>
    <t>Надання пільг окремим категоріям громадян з послуг зв’язку- всього, в тому числі:</t>
  </si>
  <si>
    <t>Компенсаційні виплати на пільговий проїзд автомобільним транспортом окремим категоріям громадян - всього, в тому числі:</t>
  </si>
  <si>
    <t>3403</t>
  </si>
  <si>
    <t xml:space="preserve"> -  міська програма  "Фонд міської ради на виконання депутатських повноважень" на 2017 рік </t>
  </si>
  <si>
    <t>4017810</t>
  </si>
  <si>
    <t xml:space="preserve"> - міська програма "Цільова  програма  захисту  населення і територій від надзвичайних ситуацій техногенного та природного характеру на 2014-2017 роки"</t>
  </si>
  <si>
    <t>Видатки на запобігання та ліквідацію надзвичайних ситуацій та наслідків стихійного лиха - всього, в тому числі:</t>
  </si>
  <si>
    <t xml:space="preserve">Затверджено на рік з урахуванням змін </t>
  </si>
  <si>
    <t>Виконано за звітний період</t>
  </si>
  <si>
    <t>% виконання</t>
  </si>
  <si>
    <t xml:space="preserve">Разом </t>
  </si>
  <si>
    <t>Додаток №2</t>
  </si>
  <si>
    <t xml:space="preserve">В тому числі видатки за рахунок субвенцій з державного та обласного бюджетів,                                                                                                </t>
  </si>
  <si>
    <t>Разом</t>
  </si>
  <si>
    <t>в т.ч.бюджет розвитку</t>
  </si>
  <si>
    <t>6022</t>
  </si>
  <si>
    <t>Відхилення                (+,-)</t>
  </si>
  <si>
    <t xml:space="preserve">                           </t>
  </si>
  <si>
    <t xml:space="preserve">до рішення Южноукраїнської </t>
  </si>
  <si>
    <t>міської ради від____________2017_№_____</t>
  </si>
  <si>
    <t>Виконання бюджету міста Южноукраїнська за видатками за І півріччя 2017 року</t>
  </si>
  <si>
    <t xml:space="preserve"> -  субвенції з державного бюджету місцевим бюджетам на надання державної підтримки особам з особливими освітніми потребами</t>
  </si>
  <si>
    <t>1512010</t>
  </si>
  <si>
    <t>2010</t>
  </si>
  <si>
    <t>0731</t>
  </si>
  <si>
    <t xml:space="preserve"> - залишку коштів медичної субвенції з державного бюджету станом на 01.01.2017</t>
  </si>
  <si>
    <t>Забезпечення централізованих заходів з лікування хворих на цукровий та нецукровий діабет - всього, в тому числі:</t>
  </si>
  <si>
    <t xml:space="preserve"> - міська Цільова програма "Цукровий діабет" на 2017-2020 р.р.</t>
  </si>
  <si>
    <t xml:space="preserve"> - субвенція з з обласного бюджету за рахунок коштів медичної субвенції з державного бюджету місцевим бюджетам</t>
  </si>
  <si>
    <t>1512225</t>
  </si>
  <si>
    <t>2225</t>
  </si>
  <si>
    <t xml:space="preserve"> - субвенція з державного бюджету місцевим бюджетам на відшкодування вартості лікарських засобів для лікування окремих захворювань </t>
  </si>
  <si>
    <t>1513130</t>
  </si>
  <si>
    <t>1513131</t>
  </si>
  <si>
    <t>1513132</t>
  </si>
  <si>
    <t>Палаци і будинки культури, клуби та інші заклади клубного типу - всього, в тому числі:</t>
  </si>
  <si>
    <t xml:space="preserve"> - палаци і будинки культури, клуби та інші заклади клубного типу</t>
  </si>
  <si>
    <t>2414203</t>
  </si>
  <si>
    <t>4203</t>
  </si>
  <si>
    <t xml:space="preserve"> -  інші культурно-освітні заклади та заходи (міська програма  "Фонд міської ради на виконання депутатських повноважень" на 2017 рік )</t>
  </si>
  <si>
    <t>6150</t>
  </si>
  <si>
    <t>0640</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</si>
  <si>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(субвенція з державного бюджету)</t>
  </si>
  <si>
    <t>8420</t>
  </si>
</sst>
</file>

<file path=xl/styles.xml><?xml version="1.0" encoding="utf-8"?>
<styleSheet xmlns="http://schemas.openxmlformats.org/spreadsheetml/2006/main">
  <numFmts count="5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
    <numFmt numFmtId="194" formatCode="0.0000"/>
    <numFmt numFmtId="195" formatCode="0.00000"/>
    <numFmt numFmtId="196" formatCode="#,##0.0"/>
    <numFmt numFmtId="197" formatCode="#,##0.000"/>
    <numFmt numFmtId="198" formatCode="#,##0.00000"/>
    <numFmt numFmtId="199" formatCode="#,##0.0000"/>
    <numFmt numFmtId="200" formatCode="#,##0.000000"/>
    <numFmt numFmtId="201" formatCode="0_)"/>
    <numFmt numFmtId="202" formatCode="#,##0.0000000"/>
    <numFmt numFmtId="203" formatCode="#,##0.00000000"/>
    <numFmt numFmtId="204" formatCode="#,##0.000000000"/>
    <numFmt numFmtId="205" formatCode="#,##0.0000000000"/>
    <numFmt numFmtId="206" formatCode="#,##0.00000000000"/>
    <numFmt numFmtId="207" formatCode="#,##0.000000000000"/>
  </numFmts>
  <fonts count="73">
    <font>
      <sz val="10"/>
      <name val="Arial Cyr"/>
      <family val="0"/>
    </font>
    <font>
      <u val="single"/>
      <sz val="10"/>
      <color indexed="12"/>
      <name val="Arial Cyr"/>
      <family val="0"/>
    </font>
    <font>
      <u val="single"/>
      <sz val="10"/>
      <color indexed="36"/>
      <name val="Arial Cyr"/>
      <family val="0"/>
    </font>
    <font>
      <sz val="14"/>
      <name val="Times New Roman"/>
      <family val="1"/>
    </font>
    <font>
      <sz val="16"/>
      <name val="Times New Roman"/>
      <family val="1"/>
    </font>
    <font>
      <sz val="20"/>
      <name val="Times New Roman"/>
      <family val="1"/>
    </font>
    <font>
      <sz val="10"/>
      <name val="Times New Roman"/>
      <family val="1"/>
    </font>
    <font>
      <sz val="12"/>
      <name val="Times New Roman"/>
      <family val="1"/>
    </font>
    <font>
      <sz val="14"/>
      <color indexed="8"/>
      <name val="Times New Roman"/>
      <family val="1"/>
    </font>
    <font>
      <i/>
      <sz val="12"/>
      <name val="Times New Roman"/>
      <family val="1"/>
    </font>
    <font>
      <sz val="8"/>
      <name val="Arial Cyr"/>
      <family val="0"/>
    </font>
    <font>
      <sz val="14"/>
      <name val="Arial Cyr"/>
      <family val="0"/>
    </font>
    <font>
      <i/>
      <sz val="14"/>
      <name val="Times New Roman"/>
      <family val="1"/>
    </font>
    <font>
      <b/>
      <sz val="14"/>
      <name val="Times New Roman"/>
      <family val="1"/>
    </font>
    <font>
      <i/>
      <sz val="10"/>
      <name val="Arial Cyr"/>
      <family val="0"/>
    </font>
    <font>
      <i/>
      <sz val="14"/>
      <name val="Arial Cyr"/>
      <family val="0"/>
    </font>
    <font>
      <i/>
      <sz val="14"/>
      <color indexed="8"/>
      <name val="Times New Roman"/>
      <family val="1"/>
    </font>
    <font>
      <b/>
      <sz val="12"/>
      <name val="Times New Roman"/>
      <family val="1"/>
    </font>
    <font>
      <b/>
      <sz val="15"/>
      <color indexed="62"/>
      <name val="Calibri"/>
      <family val="2"/>
    </font>
    <font>
      <b/>
      <sz val="11"/>
      <color indexed="62"/>
      <name val="Calibri"/>
      <family val="2"/>
    </font>
    <font>
      <b/>
      <sz val="18"/>
      <color indexed="62"/>
      <name val="Cambria"/>
      <family val="2"/>
    </font>
    <font>
      <b/>
      <i/>
      <sz val="14"/>
      <name val="Times New Roman"/>
      <family val="1"/>
    </font>
    <font>
      <b/>
      <sz val="12.5"/>
      <name val="Times New Roman"/>
      <family val="1"/>
    </font>
    <font>
      <i/>
      <sz val="12"/>
      <color indexed="8"/>
      <name val="Times New Roman"/>
      <family val="1"/>
    </font>
    <font>
      <i/>
      <sz val="14"/>
      <color indexed="10"/>
      <name val="Times New Roman"/>
      <family val="1"/>
    </font>
    <font>
      <b/>
      <sz val="16"/>
      <name val="Times New Roman"/>
      <family val="1"/>
    </font>
    <font>
      <i/>
      <sz val="10"/>
      <name val="Times New Roman"/>
      <family val="1"/>
    </font>
    <font>
      <sz val="18"/>
      <name val="Times New Roman"/>
      <family val="1"/>
    </font>
    <font>
      <sz val="18"/>
      <name val="Arial Cyr"/>
      <family val="0"/>
    </font>
    <font>
      <b/>
      <sz val="10"/>
      <name val="Arial Cyr"/>
      <family val="0"/>
    </font>
    <font>
      <b/>
      <sz val="14"/>
      <name val="Arial Cyr"/>
      <family val="0"/>
    </font>
    <font>
      <sz val="16"/>
      <color indexed="8"/>
      <name val="Times New Roman"/>
      <family val="1"/>
    </font>
    <font>
      <sz val="16"/>
      <name val="Arial Cyr"/>
      <family val="2"/>
    </font>
    <font>
      <i/>
      <sz val="16"/>
      <name val="Times New Roman"/>
      <family val="1"/>
    </font>
    <font>
      <i/>
      <sz val="16"/>
      <name val="Arial Cyr"/>
      <family val="2"/>
    </font>
    <font>
      <i/>
      <sz val="16"/>
      <color indexed="8"/>
      <name val="Times New Roman"/>
      <family val="1"/>
    </font>
    <font>
      <sz val="16"/>
      <color indexed="10"/>
      <name val="Times New Roman"/>
      <family val="1"/>
    </font>
    <font>
      <b/>
      <sz val="16"/>
      <color indexed="8"/>
      <name val="Times New Roman"/>
      <family val="1"/>
    </font>
    <font>
      <sz val="11"/>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3"/>
      <color indexed="62"/>
      <name val="Calibri"/>
      <family val="2"/>
    </font>
    <font>
      <b/>
      <sz val="11"/>
      <color indexed="8"/>
      <name val="Calibri"/>
      <family val="2"/>
    </font>
    <font>
      <b/>
      <sz val="11"/>
      <color indexed="9"/>
      <name val="Calibri"/>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6"/>
      <color indexed="9"/>
      <name val="Times New Roman"/>
      <family val="1"/>
    </font>
    <font>
      <i/>
      <sz val="16"/>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1"/>
      <color theme="1"/>
      <name val="Calibri"/>
      <family val="2"/>
    </font>
    <font>
      <b/>
      <sz val="11"/>
      <color theme="0"/>
      <name val="Calibri"/>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6"/>
      <color theme="0"/>
      <name val="Times New Roman"/>
      <family val="1"/>
    </font>
    <font>
      <i/>
      <sz val="16"/>
      <color theme="0"/>
      <name val="Times New Roman"/>
      <family val="1"/>
    </font>
    <font>
      <sz val="16"/>
      <color theme="1"/>
      <name val="Times New Roman"/>
      <family val="1"/>
    </font>
  </fonts>
  <fills count="3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rgb="FFFFFF00"/>
        <bgColor indexed="64"/>
      </patternFill>
    </fill>
    <fill>
      <patternFill patternType="solid">
        <fgColor theme="7" tint="0.5999900102615356"/>
        <bgColor indexed="64"/>
      </patternFill>
    </fill>
    <fill>
      <patternFill patternType="solid">
        <fgColor theme="3" tint="0.5999900102615356"/>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2"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7" borderId="0" applyNumberFormat="0" applyBorder="0" applyAlignment="0" applyProtection="0"/>
    <xf numFmtId="0" fontId="56" fillId="10" borderId="0" applyNumberFormat="0" applyBorder="0" applyAlignment="0" applyProtection="0"/>
    <xf numFmtId="0" fontId="56" fillId="3"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7" borderId="0" applyNumberFormat="0" applyBorder="0" applyAlignment="0" applyProtection="0"/>
    <xf numFmtId="0" fontId="57" fillId="13" borderId="0" applyNumberFormat="0" applyBorder="0" applyAlignment="0" applyProtection="0"/>
    <xf numFmtId="0" fontId="57" fillId="3" borderId="0" applyNumberFormat="0" applyBorder="0" applyAlignment="0" applyProtection="0"/>
    <xf numFmtId="0" fontId="57" fillId="11"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1" applyNumberFormat="0" applyAlignment="0" applyProtection="0"/>
    <xf numFmtId="0" fontId="59" fillId="2" borderId="2" applyNumberFormat="0" applyAlignment="0" applyProtection="0"/>
    <xf numFmtId="0" fontId="60" fillId="2"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45"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61" fillId="0" borderId="6" applyNumberFormat="0" applyFill="0" applyAlignment="0" applyProtection="0"/>
    <xf numFmtId="0" fontId="62" fillId="20" borderId="7" applyNumberFormat="0" applyAlignment="0" applyProtection="0"/>
    <xf numFmtId="0" fontId="20" fillId="0" borderId="0" applyNumberFormat="0" applyFill="0" applyBorder="0" applyAlignment="0" applyProtection="0"/>
    <xf numFmtId="0" fontId="63" fillId="21" borderId="0" applyNumberFormat="0" applyBorder="0" applyAlignment="0" applyProtection="0"/>
    <xf numFmtId="0" fontId="2" fillId="0" borderId="0" applyNumberFormat="0" applyFill="0" applyBorder="0" applyAlignment="0" applyProtection="0"/>
    <xf numFmtId="0" fontId="64" fillId="22" borderId="0" applyNumberFormat="0" applyBorder="0" applyAlignment="0" applyProtection="0"/>
    <xf numFmtId="0" fontId="6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8" fillId="24" borderId="0" applyNumberFormat="0" applyBorder="0" applyAlignment="0" applyProtection="0"/>
  </cellStyleXfs>
  <cellXfs count="242">
    <xf numFmtId="0" fontId="0" fillId="0" borderId="0" xfId="0" applyAlignment="1">
      <alignment/>
    </xf>
    <xf numFmtId="0" fontId="3" fillId="0" borderId="0" xfId="0" applyFont="1" applyFill="1" applyAlignment="1">
      <alignment wrapText="1"/>
    </xf>
    <xf numFmtId="0" fontId="3" fillId="0" borderId="0" xfId="0" applyFont="1" applyFill="1" applyAlignment="1">
      <alignment/>
    </xf>
    <xf numFmtId="188" fontId="3" fillId="0" borderId="0" xfId="0" applyNumberFormat="1" applyFont="1" applyFill="1" applyBorder="1" applyAlignment="1">
      <alignment wrapText="1"/>
    </xf>
    <xf numFmtId="188" fontId="3" fillId="0" borderId="0" xfId="0" applyNumberFormat="1" applyFont="1" applyFill="1" applyAlignment="1">
      <alignment wrapText="1"/>
    </xf>
    <xf numFmtId="49" fontId="3" fillId="0" borderId="0" xfId="0" applyNumberFormat="1" applyFont="1" applyFill="1" applyBorder="1" applyAlignment="1">
      <alignment horizontal="center" wrapText="1"/>
    </xf>
    <xf numFmtId="193" fontId="3" fillId="0" borderId="0" xfId="0" applyNumberFormat="1" applyFont="1" applyFill="1" applyAlignment="1">
      <alignment wrapText="1"/>
    </xf>
    <xf numFmtId="0" fontId="3" fillId="0" borderId="0" xfId="0" applyFont="1" applyFill="1" applyBorder="1" applyAlignment="1">
      <alignment/>
    </xf>
    <xf numFmtId="0" fontId="5" fillId="0" borderId="0" xfId="0" applyFont="1" applyFill="1" applyAlignment="1">
      <alignment wrapText="1"/>
    </xf>
    <xf numFmtId="0" fontId="5" fillId="0" borderId="0" xfId="0" applyFont="1" applyFill="1" applyAlignment="1">
      <alignment/>
    </xf>
    <xf numFmtId="0" fontId="6" fillId="0" borderId="0" xfId="0" applyFont="1" applyFill="1" applyAlignment="1">
      <alignment/>
    </xf>
    <xf numFmtId="0" fontId="0" fillId="0" borderId="0" xfId="0" applyFont="1" applyFill="1" applyAlignment="1">
      <alignment/>
    </xf>
    <xf numFmtId="198" fontId="3" fillId="0" borderId="0" xfId="0" applyNumberFormat="1" applyFont="1" applyFill="1" applyAlignment="1">
      <alignment wrapText="1"/>
    </xf>
    <xf numFmtId="198" fontId="7" fillId="0" borderId="0" xfId="0" applyNumberFormat="1" applyFont="1" applyFill="1" applyBorder="1" applyAlignment="1">
      <alignment wrapText="1"/>
    </xf>
    <xf numFmtId="198" fontId="3" fillId="0" borderId="0" xfId="0" applyNumberFormat="1" applyFont="1" applyFill="1" applyBorder="1" applyAlignment="1">
      <alignment wrapText="1"/>
    </xf>
    <xf numFmtId="198" fontId="3" fillId="0" borderId="0" xfId="0" applyNumberFormat="1" applyFont="1" applyFill="1" applyAlignment="1">
      <alignment/>
    </xf>
    <xf numFmtId="197" fontId="7" fillId="0" borderId="0" xfId="0" applyNumberFormat="1" applyFont="1" applyFill="1" applyBorder="1" applyAlignment="1">
      <alignment wrapText="1"/>
    </xf>
    <xf numFmtId="0" fontId="0" fillId="0" borderId="0" xfId="0" applyFont="1" applyFill="1" applyAlignment="1">
      <alignment wrapText="1"/>
    </xf>
    <xf numFmtId="0" fontId="7" fillId="0" borderId="0" xfId="0" applyFont="1" applyFill="1" applyBorder="1" applyAlignment="1">
      <alignment/>
    </xf>
    <xf numFmtId="0" fontId="9" fillId="0" borderId="0" xfId="0" applyFont="1" applyFill="1" applyBorder="1" applyAlignment="1">
      <alignment/>
    </xf>
    <xf numFmtId="198" fontId="0" fillId="0" borderId="0" xfId="0" applyNumberFormat="1" applyFont="1" applyFill="1" applyBorder="1" applyAlignment="1">
      <alignment/>
    </xf>
    <xf numFmtId="0" fontId="4" fillId="0" borderId="0" xfId="0" applyFont="1" applyFill="1" applyBorder="1" applyAlignment="1">
      <alignment/>
    </xf>
    <xf numFmtId="198" fontId="3" fillId="0" borderId="0" xfId="0" applyNumberFormat="1" applyFont="1" applyFill="1" applyBorder="1" applyAlignment="1">
      <alignment/>
    </xf>
    <xf numFmtId="188" fontId="0" fillId="0" borderId="0" xfId="0" applyNumberFormat="1" applyFont="1" applyFill="1" applyBorder="1" applyAlignment="1">
      <alignment wrapText="1"/>
    </xf>
    <xf numFmtId="188" fontId="0" fillId="0" borderId="0" xfId="0" applyNumberFormat="1" applyFont="1" applyFill="1" applyAlignment="1">
      <alignment wrapText="1"/>
    </xf>
    <xf numFmtId="193" fontId="0" fillId="0" borderId="0" xfId="0" applyNumberFormat="1" applyFont="1" applyFill="1" applyAlignment="1">
      <alignment wrapText="1"/>
    </xf>
    <xf numFmtId="0" fontId="3" fillId="0" borderId="0" xfId="0" applyFont="1" applyFill="1" applyAlignment="1">
      <alignment horizontal="center"/>
    </xf>
    <xf numFmtId="0" fontId="3" fillId="0" borderId="0" xfId="0" applyFont="1" applyFill="1" applyBorder="1" applyAlignment="1">
      <alignment horizontal="center"/>
    </xf>
    <xf numFmtId="0" fontId="11" fillId="0" borderId="0" xfId="0" applyFont="1" applyFill="1" applyAlignment="1">
      <alignment horizontal="center"/>
    </xf>
    <xf numFmtId="0" fontId="3" fillId="0" borderId="0" xfId="0" applyFont="1" applyFill="1" applyAlignment="1">
      <alignment horizontal="left" wrapText="1"/>
    </xf>
    <xf numFmtId="49" fontId="13" fillId="0" borderId="0" xfId="0" applyNumberFormat="1" applyFont="1" applyFill="1" applyBorder="1" applyAlignment="1">
      <alignment horizontal="center"/>
    </xf>
    <xf numFmtId="0" fontId="13" fillId="0" borderId="0" xfId="0" applyFont="1" applyFill="1" applyBorder="1" applyAlignment="1">
      <alignment horizontal="left" wrapText="1"/>
    </xf>
    <xf numFmtId="49" fontId="3" fillId="0" borderId="0" xfId="0" applyNumberFormat="1" applyFont="1" applyFill="1" applyBorder="1" applyAlignment="1">
      <alignment horizontal="center"/>
    </xf>
    <xf numFmtId="0" fontId="3" fillId="0" borderId="0" xfId="0" applyFont="1" applyFill="1" applyBorder="1" applyAlignment="1">
      <alignment horizontal="left" wrapText="1"/>
    </xf>
    <xf numFmtId="198" fontId="8" fillId="0" borderId="0" xfId="0" applyNumberFormat="1" applyFont="1" applyFill="1" applyBorder="1" applyAlignment="1" applyProtection="1">
      <alignment/>
      <protection locked="0"/>
    </xf>
    <xf numFmtId="49" fontId="12" fillId="0" borderId="0" xfId="0" applyNumberFormat="1" applyFont="1" applyFill="1" applyBorder="1" applyAlignment="1">
      <alignment horizontal="center"/>
    </xf>
    <xf numFmtId="49" fontId="12" fillId="0" borderId="0" xfId="0" applyNumberFormat="1" applyFont="1" applyFill="1" applyBorder="1" applyAlignment="1">
      <alignment horizontal="center" wrapText="1"/>
    </xf>
    <xf numFmtId="0" fontId="12" fillId="0" borderId="0" xfId="0" applyFont="1" applyFill="1" applyBorder="1" applyAlignment="1">
      <alignment wrapText="1"/>
    </xf>
    <xf numFmtId="198" fontId="12" fillId="0" borderId="0" xfId="0" applyNumberFormat="1" applyFont="1" applyFill="1" applyBorder="1" applyAlignment="1">
      <alignment wrapText="1"/>
    </xf>
    <xf numFmtId="0" fontId="12" fillId="0" borderId="0" xfId="0" applyFont="1" applyFill="1" applyBorder="1" applyAlignment="1">
      <alignment/>
    </xf>
    <xf numFmtId="0" fontId="3" fillId="0" borderId="0" xfId="0" applyFont="1" applyFill="1" applyBorder="1" applyAlignment="1">
      <alignment vertical="center" wrapText="1"/>
    </xf>
    <xf numFmtId="1" fontId="3" fillId="0" borderId="0" xfId="0" applyNumberFormat="1" applyFont="1" applyFill="1" applyBorder="1" applyAlignment="1">
      <alignment wrapText="1"/>
    </xf>
    <xf numFmtId="1" fontId="3" fillId="0" borderId="0" xfId="0" applyNumberFormat="1" applyFont="1" applyFill="1" applyBorder="1" applyAlignment="1">
      <alignment horizontal="left" wrapText="1"/>
    </xf>
    <xf numFmtId="0" fontId="3" fillId="0" borderId="0" xfId="0" applyFont="1" applyFill="1" applyBorder="1" applyAlignment="1">
      <alignment wrapText="1"/>
    </xf>
    <xf numFmtId="49" fontId="12" fillId="0" borderId="0" xfId="0" applyNumberFormat="1" applyFont="1" applyFill="1" applyBorder="1" applyAlignment="1">
      <alignment/>
    </xf>
    <xf numFmtId="0" fontId="12" fillId="0" borderId="0" xfId="0" applyFont="1" applyFill="1" applyBorder="1" applyAlignment="1">
      <alignment horizontal="left" wrapText="1"/>
    </xf>
    <xf numFmtId="0" fontId="14" fillId="0" borderId="0" xfId="0" applyFont="1" applyFill="1" applyBorder="1" applyAlignment="1">
      <alignment/>
    </xf>
    <xf numFmtId="49" fontId="15" fillId="0" borderId="0" xfId="0" applyNumberFormat="1" applyFont="1" applyFill="1" applyBorder="1" applyAlignment="1">
      <alignment horizontal="center"/>
    </xf>
    <xf numFmtId="0" fontId="13" fillId="0" borderId="0" xfId="0" applyFont="1" applyFill="1" applyBorder="1" applyAlignment="1">
      <alignment wrapText="1"/>
    </xf>
    <xf numFmtId="198" fontId="9" fillId="0" borderId="0" xfId="0" applyNumberFormat="1" applyFont="1" applyFill="1" applyBorder="1" applyAlignment="1">
      <alignment wrapText="1"/>
    </xf>
    <xf numFmtId="0" fontId="13" fillId="0" borderId="0" xfId="0" applyFont="1" applyFill="1" applyBorder="1" applyAlignment="1">
      <alignment/>
    </xf>
    <xf numFmtId="197" fontId="12" fillId="0" borderId="0" xfId="0" applyNumberFormat="1" applyFont="1" applyFill="1" applyBorder="1" applyAlignment="1">
      <alignment/>
    </xf>
    <xf numFmtId="1" fontId="12" fillId="0" borderId="0" xfId="0" applyNumberFormat="1" applyFont="1" applyFill="1" applyBorder="1" applyAlignment="1">
      <alignment horizontal="left" wrapText="1"/>
    </xf>
    <xf numFmtId="198" fontId="13" fillId="0" borderId="0" xfId="0" applyNumberFormat="1" applyFont="1" applyFill="1" applyBorder="1" applyAlignment="1">
      <alignment/>
    </xf>
    <xf numFmtId="198" fontId="12" fillId="0" borderId="0" xfId="0" applyNumberFormat="1" applyFont="1" applyFill="1" applyBorder="1" applyAlignment="1">
      <alignment/>
    </xf>
    <xf numFmtId="1" fontId="12" fillId="0" borderId="0" xfId="0" applyNumberFormat="1" applyFont="1" applyFill="1" applyBorder="1" applyAlignment="1">
      <alignment wrapText="1"/>
    </xf>
    <xf numFmtId="198" fontId="16" fillId="0" borderId="0" xfId="0" applyNumberFormat="1" applyFont="1" applyFill="1" applyBorder="1" applyAlignment="1" applyProtection="1">
      <alignment/>
      <protection locked="0"/>
    </xf>
    <xf numFmtId="198" fontId="4" fillId="0" borderId="0" xfId="0" applyNumberFormat="1" applyFont="1" applyFill="1" applyAlignment="1">
      <alignment wrapText="1"/>
    </xf>
    <xf numFmtId="0" fontId="4" fillId="0" borderId="0" xfId="0" applyFont="1" applyFill="1" applyAlignment="1">
      <alignment wrapText="1"/>
    </xf>
    <xf numFmtId="49" fontId="3" fillId="0" borderId="0" xfId="0" applyNumberFormat="1" applyFont="1" applyFill="1" applyAlignment="1">
      <alignment horizontal="center"/>
    </xf>
    <xf numFmtId="0" fontId="8" fillId="0" borderId="0" xfId="0" applyFont="1" applyFill="1" applyBorder="1" applyAlignment="1">
      <alignment wrapText="1"/>
    </xf>
    <xf numFmtId="49" fontId="3" fillId="0" borderId="0" xfId="0" applyNumberFormat="1" applyFont="1" applyFill="1" applyAlignment="1">
      <alignment horizontal="center" vertical="top"/>
    </xf>
    <xf numFmtId="0" fontId="3" fillId="0" borderId="0" xfId="0" applyFont="1" applyFill="1" applyAlignment="1">
      <alignment horizontal="justify" wrapText="1"/>
    </xf>
    <xf numFmtId="198" fontId="13" fillId="0" borderId="0" xfId="0" applyNumberFormat="1" applyFont="1" applyFill="1" applyBorder="1" applyAlignment="1">
      <alignment wrapText="1"/>
    </xf>
    <xf numFmtId="1" fontId="13" fillId="0" borderId="0" xfId="0" applyNumberFormat="1" applyFont="1" applyFill="1" applyBorder="1" applyAlignment="1">
      <alignment horizontal="left" wrapText="1"/>
    </xf>
    <xf numFmtId="49" fontId="9" fillId="0" borderId="0" xfId="0" applyNumberFormat="1" applyFont="1" applyFill="1" applyBorder="1" applyAlignment="1">
      <alignment horizontal="center"/>
    </xf>
    <xf numFmtId="0" fontId="9" fillId="0" borderId="0" xfId="0" applyFont="1" applyFill="1" applyBorder="1" applyAlignment="1">
      <alignment horizontal="left" wrapText="1"/>
    </xf>
    <xf numFmtId="188" fontId="9" fillId="0" borderId="0" xfId="0" applyNumberFormat="1" applyFont="1" applyFill="1" applyBorder="1" applyAlignment="1">
      <alignment wrapText="1"/>
    </xf>
    <xf numFmtId="0" fontId="0" fillId="0" borderId="0" xfId="0" applyFont="1" applyFill="1" applyBorder="1" applyAlignment="1">
      <alignment/>
    </xf>
    <xf numFmtId="198" fontId="7" fillId="0" borderId="0" xfId="0" applyNumberFormat="1" applyFont="1" applyFill="1" applyBorder="1" applyAlignment="1">
      <alignment/>
    </xf>
    <xf numFmtId="198" fontId="6" fillId="0" borderId="0" xfId="0" applyNumberFormat="1" applyFont="1" applyFill="1" applyBorder="1" applyAlignment="1">
      <alignment/>
    </xf>
    <xf numFmtId="0" fontId="6" fillId="0" borderId="0" xfId="0" applyFont="1" applyFill="1" applyBorder="1" applyAlignment="1">
      <alignment/>
    </xf>
    <xf numFmtId="198" fontId="13" fillId="0" borderId="0" xfId="0" applyNumberFormat="1" applyFont="1" applyFill="1" applyBorder="1" applyAlignment="1">
      <alignment horizontal="center" wrapText="1"/>
    </xf>
    <xf numFmtId="0" fontId="17" fillId="0" borderId="0" xfId="0" applyFont="1" applyFill="1" applyBorder="1" applyAlignment="1">
      <alignment/>
    </xf>
    <xf numFmtId="1" fontId="13" fillId="0" borderId="0" xfId="0" applyNumberFormat="1" applyFont="1" applyFill="1" applyBorder="1" applyAlignment="1">
      <alignment wrapText="1"/>
    </xf>
    <xf numFmtId="198" fontId="17" fillId="0" borderId="0" xfId="0" applyNumberFormat="1" applyFont="1" applyFill="1" applyBorder="1" applyAlignment="1">
      <alignment/>
    </xf>
    <xf numFmtId="49" fontId="12" fillId="0" borderId="0" xfId="0" applyNumberFormat="1" applyFont="1" applyFill="1" applyAlignment="1">
      <alignment horizontal="center"/>
    </xf>
    <xf numFmtId="0" fontId="9" fillId="0" borderId="0" xfId="0" applyFont="1" applyFill="1" applyAlignment="1">
      <alignment horizontal="left" wrapText="1"/>
    </xf>
    <xf numFmtId="0" fontId="11" fillId="0" borderId="0" xfId="0" applyFont="1" applyFill="1" applyBorder="1" applyAlignment="1">
      <alignment/>
    </xf>
    <xf numFmtId="198" fontId="4" fillId="0" borderId="0" xfId="0" applyNumberFormat="1" applyFont="1" applyFill="1" applyBorder="1" applyAlignment="1">
      <alignment horizontal="left" wrapText="1"/>
    </xf>
    <xf numFmtId="198" fontId="3" fillId="0" borderId="0" xfId="0" applyNumberFormat="1" applyFont="1" applyFill="1" applyAlignment="1">
      <alignment horizontal="left" wrapText="1"/>
    </xf>
    <xf numFmtId="188" fontId="3" fillId="0" borderId="0" xfId="0" applyNumberFormat="1" applyFont="1" applyFill="1" applyBorder="1" applyAlignment="1">
      <alignment horizontal="left" wrapText="1"/>
    </xf>
    <xf numFmtId="188" fontId="3" fillId="0" borderId="0" xfId="0" applyNumberFormat="1" applyFont="1" applyFill="1" applyAlignment="1">
      <alignment horizontal="left" wrapText="1"/>
    </xf>
    <xf numFmtId="49" fontId="8" fillId="0" borderId="0" xfId="0" applyNumberFormat="1" applyFont="1" applyFill="1" applyBorder="1" applyAlignment="1">
      <alignment horizontal="center"/>
    </xf>
    <xf numFmtId="0" fontId="8" fillId="0" borderId="0" xfId="0" applyFont="1" applyFill="1" applyBorder="1" applyAlignment="1">
      <alignment horizontal="left" wrapText="1"/>
    </xf>
    <xf numFmtId="0" fontId="13" fillId="25" borderId="0" xfId="0" applyFont="1" applyFill="1" applyBorder="1" applyAlignment="1">
      <alignment horizontal="left" wrapText="1"/>
    </xf>
    <xf numFmtId="0" fontId="13" fillId="25" borderId="0" xfId="0" applyFont="1" applyFill="1" applyBorder="1" applyAlignment="1">
      <alignment wrapText="1"/>
    </xf>
    <xf numFmtId="0" fontId="3" fillId="0" borderId="10" xfId="0" applyFont="1" applyFill="1" applyBorder="1" applyAlignment="1">
      <alignment/>
    </xf>
    <xf numFmtId="0" fontId="12" fillId="0" borderId="10" xfId="0" applyFont="1" applyFill="1" applyBorder="1" applyAlignment="1">
      <alignment/>
    </xf>
    <xf numFmtId="0" fontId="3" fillId="0" borderId="0" xfId="0" applyFont="1" applyBorder="1" applyAlignment="1">
      <alignment horizontal="left" wrapText="1"/>
    </xf>
    <xf numFmtId="0" fontId="3" fillId="2" borderId="0" xfId="0" applyFont="1" applyFill="1" applyBorder="1" applyAlignment="1">
      <alignment horizontal="left" wrapText="1"/>
    </xf>
    <xf numFmtId="197" fontId="4" fillId="0" borderId="0" xfId="0" applyNumberFormat="1" applyFont="1" applyFill="1" applyAlignment="1">
      <alignment wrapText="1"/>
    </xf>
    <xf numFmtId="0" fontId="12" fillId="0" borderId="0" xfId="0" applyFont="1" applyBorder="1" applyAlignment="1">
      <alignment horizontal="left" wrapText="1"/>
    </xf>
    <xf numFmtId="0" fontId="7" fillId="0" borderId="0" xfId="0" applyFont="1" applyFill="1" applyAlignment="1">
      <alignment horizontal="left" wrapText="1"/>
    </xf>
    <xf numFmtId="0" fontId="21" fillId="0" borderId="0" xfId="0" applyFont="1" applyFill="1" applyBorder="1" applyAlignment="1">
      <alignment/>
    </xf>
    <xf numFmtId="0" fontId="12" fillId="2" borderId="0" xfId="0" applyFont="1" applyFill="1" applyBorder="1" applyAlignment="1">
      <alignment horizontal="left" wrapText="1"/>
    </xf>
    <xf numFmtId="0" fontId="23" fillId="0" borderId="0" xfId="0" applyFont="1" applyFill="1" applyBorder="1" applyAlignment="1">
      <alignment horizontal="left" wrapText="1"/>
    </xf>
    <xf numFmtId="198" fontId="3" fillId="0" borderId="0" xfId="0" applyNumberFormat="1" applyFont="1" applyFill="1" applyAlignment="1">
      <alignment horizontal="right" wrapText="1"/>
    </xf>
    <xf numFmtId="198" fontId="3" fillId="0" borderId="0" xfId="0" applyNumberFormat="1" applyFont="1" applyFill="1" applyAlignment="1">
      <alignment horizontal="right"/>
    </xf>
    <xf numFmtId="198" fontId="17" fillId="0" borderId="0" xfId="0" applyNumberFormat="1" applyFont="1" applyFill="1" applyBorder="1" applyAlignment="1">
      <alignment wrapText="1"/>
    </xf>
    <xf numFmtId="2" fontId="5" fillId="0" borderId="0" xfId="0" applyNumberFormat="1" applyFont="1" applyFill="1" applyAlignment="1">
      <alignment wrapText="1"/>
    </xf>
    <xf numFmtId="2" fontId="3" fillId="0" borderId="0" xfId="0" applyNumberFormat="1" applyFont="1" applyFill="1" applyAlignment="1">
      <alignment wrapText="1"/>
    </xf>
    <xf numFmtId="2" fontId="3" fillId="0" borderId="0" xfId="0" applyNumberFormat="1" applyFont="1" applyFill="1" applyBorder="1" applyAlignment="1">
      <alignment wrapText="1"/>
    </xf>
    <xf numFmtId="2" fontId="17" fillId="0" borderId="0" xfId="0" applyNumberFormat="1" applyFont="1" applyFill="1" applyBorder="1" applyAlignment="1">
      <alignment wrapText="1"/>
    </xf>
    <xf numFmtId="2" fontId="4" fillId="0" borderId="0" xfId="0" applyNumberFormat="1" applyFont="1" applyFill="1" applyAlignment="1">
      <alignment wrapText="1"/>
    </xf>
    <xf numFmtId="0" fontId="25" fillId="0" borderId="0" xfId="0" applyFont="1" applyFill="1" applyBorder="1" applyAlignment="1">
      <alignment horizontal="left" wrapText="1"/>
    </xf>
    <xf numFmtId="198" fontId="26" fillId="0" borderId="0" xfId="0" applyNumberFormat="1" applyFont="1" applyFill="1" applyBorder="1" applyAlignment="1">
      <alignment/>
    </xf>
    <xf numFmtId="0" fontId="26" fillId="0" borderId="0" xfId="0" applyFont="1" applyFill="1" applyBorder="1" applyAlignment="1">
      <alignment/>
    </xf>
    <xf numFmtId="0" fontId="13" fillId="26" borderId="0" xfId="0" applyFont="1" applyFill="1" applyBorder="1" applyAlignment="1">
      <alignment wrapText="1"/>
    </xf>
    <xf numFmtId="0" fontId="27" fillId="0" borderId="0" xfId="0" applyFont="1" applyFill="1" applyAlignment="1">
      <alignment horizontal="center"/>
    </xf>
    <xf numFmtId="0" fontId="27" fillId="0" borderId="0" xfId="0" applyFont="1" applyFill="1" applyAlignment="1">
      <alignment/>
    </xf>
    <xf numFmtId="2" fontId="27" fillId="0" borderId="0" xfId="0" applyNumberFormat="1" applyFont="1" applyFill="1" applyAlignment="1">
      <alignment wrapText="1"/>
    </xf>
    <xf numFmtId="198" fontId="27" fillId="0" borderId="0" xfId="0" applyNumberFormat="1" applyFont="1" applyFill="1" applyAlignment="1">
      <alignment wrapText="1"/>
    </xf>
    <xf numFmtId="198" fontId="28" fillId="0" borderId="0" xfId="0" applyNumberFormat="1" applyFont="1" applyFill="1" applyAlignment="1">
      <alignment wrapText="1"/>
    </xf>
    <xf numFmtId="49" fontId="3" fillId="27" borderId="0" xfId="0" applyNumberFormat="1" applyFont="1" applyFill="1" applyAlignment="1">
      <alignment wrapText="1"/>
    </xf>
    <xf numFmtId="49" fontId="3" fillId="27" borderId="0" xfId="0" applyNumberFormat="1" applyFont="1" applyFill="1" applyBorder="1" applyAlignment="1">
      <alignment horizontal="center" wrapText="1"/>
    </xf>
    <xf numFmtId="49" fontId="3" fillId="27" borderId="0" xfId="0" applyNumberFormat="1" applyFont="1" applyFill="1" applyAlignment="1">
      <alignment horizontal="center" wrapText="1"/>
    </xf>
    <xf numFmtId="49" fontId="3" fillId="27" borderId="0" xfId="0" applyNumberFormat="1" applyFont="1" applyFill="1" applyAlignment="1">
      <alignment horizontal="center" vertical="top" wrapText="1"/>
    </xf>
    <xf numFmtId="49" fontId="12" fillId="27" borderId="0" xfId="0" applyNumberFormat="1" applyFont="1" applyFill="1" applyAlignment="1">
      <alignment horizontal="center" wrapText="1"/>
    </xf>
    <xf numFmtId="49" fontId="12" fillId="27" borderId="0" xfId="0" applyNumberFormat="1" applyFont="1" applyFill="1" applyBorder="1" applyAlignment="1">
      <alignment horizontal="center" wrapText="1"/>
    </xf>
    <xf numFmtId="0" fontId="12" fillId="27" borderId="0" xfId="0" applyFont="1" applyFill="1" applyBorder="1" applyAlignment="1">
      <alignment horizontal="center"/>
    </xf>
    <xf numFmtId="49" fontId="13" fillId="27" borderId="0" xfId="0" applyNumberFormat="1" applyFont="1" applyFill="1" applyBorder="1" applyAlignment="1">
      <alignment horizontal="center" wrapText="1"/>
    </xf>
    <xf numFmtId="49" fontId="9" fillId="27" borderId="0" xfId="0" applyNumberFormat="1" applyFont="1" applyFill="1" applyBorder="1" applyAlignment="1">
      <alignment horizontal="center" wrapText="1"/>
    </xf>
    <xf numFmtId="49" fontId="12" fillId="27" borderId="0" xfId="0" applyNumberFormat="1" applyFont="1" applyFill="1" applyBorder="1" applyAlignment="1">
      <alignment wrapText="1"/>
    </xf>
    <xf numFmtId="0" fontId="3" fillId="27" borderId="0" xfId="0" applyFont="1" applyFill="1" applyAlignment="1">
      <alignment horizontal="left" wrapText="1"/>
    </xf>
    <xf numFmtId="49" fontId="3" fillId="27" borderId="0" xfId="0" applyNumberFormat="1" applyFont="1" applyFill="1" applyBorder="1" applyAlignment="1">
      <alignment horizontal="left"/>
    </xf>
    <xf numFmtId="49" fontId="3" fillId="27" borderId="0" xfId="0" applyNumberFormat="1" applyFont="1" applyFill="1" applyBorder="1" applyAlignment="1">
      <alignment horizontal="left" wrapText="1"/>
    </xf>
    <xf numFmtId="49" fontId="3" fillId="27" borderId="0" xfId="0" applyNumberFormat="1" applyFont="1" applyFill="1" applyAlignment="1">
      <alignment horizontal="left" wrapText="1"/>
    </xf>
    <xf numFmtId="49" fontId="13" fillId="27" borderId="11" xfId="0" applyNumberFormat="1" applyFont="1" applyFill="1" applyBorder="1" applyAlignment="1" applyProtection="1">
      <alignment horizontal="center" vertical="center" wrapText="1"/>
      <protection locked="0"/>
    </xf>
    <xf numFmtId="198" fontId="3" fillId="27" borderId="0" xfId="0" applyNumberFormat="1" applyFont="1" applyFill="1" applyBorder="1" applyAlignment="1">
      <alignment wrapText="1"/>
    </xf>
    <xf numFmtId="198" fontId="8" fillId="27" borderId="0" xfId="0" applyNumberFormat="1" applyFont="1" applyFill="1" applyBorder="1" applyAlignment="1" applyProtection="1">
      <alignment/>
      <protection locked="0"/>
    </xf>
    <xf numFmtId="198" fontId="3" fillId="27" borderId="0" xfId="0" applyNumberFormat="1" applyFont="1" applyFill="1" applyAlignment="1">
      <alignment horizontal="right" wrapText="1"/>
    </xf>
    <xf numFmtId="198" fontId="3" fillId="27" borderId="0" xfId="0" applyNumberFormat="1" applyFont="1" applyFill="1" applyAlignment="1">
      <alignment horizontal="right"/>
    </xf>
    <xf numFmtId="198" fontId="12" fillId="27" borderId="0" xfId="0" applyNumberFormat="1" applyFont="1" applyFill="1" applyBorder="1" applyAlignment="1">
      <alignment wrapText="1"/>
    </xf>
    <xf numFmtId="198" fontId="7" fillId="27" borderId="0" xfId="0" applyNumberFormat="1" applyFont="1" applyFill="1" applyBorder="1" applyAlignment="1">
      <alignment wrapText="1"/>
    </xf>
    <xf numFmtId="198" fontId="9" fillId="27" borderId="0" xfId="0" applyNumberFormat="1" applyFont="1" applyFill="1" applyBorder="1" applyAlignment="1">
      <alignment wrapText="1"/>
    </xf>
    <xf numFmtId="198" fontId="13" fillId="27" borderId="0" xfId="0" applyNumberFormat="1" applyFont="1" applyFill="1" applyBorder="1" applyAlignment="1">
      <alignment wrapText="1"/>
    </xf>
    <xf numFmtId="198" fontId="16" fillId="27" borderId="0" xfId="0" applyNumberFormat="1" applyFont="1" applyFill="1" applyBorder="1" applyAlignment="1" applyProtection="1">
      <alignment/>
      <protection locked="0"/>
    </xf>
    <xf numFmtId="198" fontId="12" fillId="27" borderId="0" xfId="0" applyNumberFormat="1" applyFont="1" applyFill="1" applyBorder="1" applyAlignment="1">
      <alignment horizontal="right" wrapText="1"/>
    </xf>
    <xf numFmtId="198" fontId="14" fillId="27" borderId="0" xfId="0" applyNumberFormat="1" applyFont="1" applyFill="1" applyBorder="1" applyAlignment="1">
      <alignment wrapText="1"/>
    </xf>
    <xf numFmtId="198" fontId="3" fillId="27" borderId="0" xfId="0" applyNumberFormat="1" applyFont="1" applyFill="1" applyBorder="1" applyAlignment="1">
      <alignment horizontal="right" wrapText="1"/>
    </xf>
    <xf numFmtId="198" fontId="3" fillId="27" borderId="0" xfId="0" applyNumberFormat="1" applyFont="1" applyFill="1" applyAlignment="1">
      <alignment wrapText="1"/>
    </xf>
    <xf numFmtId="0" fontId="27" fillId="27" borderId="0" xfId="0" applyFont="1" applyFill="1" applyAlignment="1">
      <alignment horizontal="right"/>
    </xf>
    <xf numFmtId="198" fontId="3" fillId="27" borderId="0" xfId="0" applyNumberFormat="1" applyFont="1" applyFill="1" applyBorder="1" applyAlignment="1">
      <alignment/>
    </xf>
    <xf numFmtId="198" fontId="4" fillId="27" borderId="0" xfId="0" applyNumberFormat="1" applyFont="1" applyFill="1" applyAlignment="1">
      <alignment wrapText="1"/>
    </xf>
    <xf numFmtId="193" fontId="3" fillId="27" borderId="0" xfId="0" applyNumberFormat="1" applyFont="1" applyFill="1" applyAlignment="1">
      <alignment wrapText="1"/>
    </xf>
    <xf numFmtId="0" fontId="3" fillId="27" borderId="0" xfId="0" applyFont="1" applyFill="1" applyAlignment="1">
      <alignment wrapText="1"/>
    </xf>
    <xf numFmtId="49" fontId="13" fillId="0" borderId="11" xfId="0" applyNumberFormat="1" applyFont="1" applyFill="1" applyBorder="1" applyAlignment="1" applyProtection="1">
      <alignment vertical="center" wrapText="1"/>
      <protection locked="0"/>
    </xf>
    <xf numFmtId="198" fontId="69" fillId="27" borderId="0" xfId="0" applyNumberFormat="1" applyFont="1" applyFill="1" applyBorder="1" applyAlignment="1" applyProtection="1">
      <alignment/>
      <protection locked="0"/>
    </xf>
    <xf numFmtId="198" fontId="29" fillId="0" borderId="0" xfId="0" applyNumberFormat="1" applyFont="1" applyFill="1" applyAlignment="1">
      <alignment/>
    </xf>
    <xf numFmtId="0" fontId="30" fillId="0" borderId="0" xfId="0" applyFont="1" applyFill="1" applyAlignment="1">
      <alignment/>
    </xf>
    <xf numFmtId="49" fontId="21" fillId="0" borderId="0" xfId="0" applyNumberFormat="1" applyFont="1" applyFill="1" applyBorder="1" applyAlignment="1">
      <alignment horizontal="center"/>
    </xf>
    <xf numFmtId="0" fontId="15" fillId="0" borderId="0" xfId="0" applyFont="1" applyFill="1" applyBorder="1" applyAlignment="1">
      <alignment/>
    </xf>
    <xf numFmtId="0" fontId="12" fillId="0" borderId="0" xfId="0" applyFont="1" applyFill="1" applyBorder="1" applyAlignment="1">
      <alignment vertical="center" wrapText="1"/>
    </xf>
    <xf numFmtId="0" fontId="13" fillId="0" borderId="11" xfId="0" applyFont="1" applyFill="1" applyBorder="1" applyAlignment="1">
      <alignment vertical="center" wrapText="1"/>
    </xf>
    <xf numFmtId="49" fontId="22" fillId="27" borderId="11" xfId="0" applyNumberFormat="1" applyFont="1" applyFill="1" applyBorder="1" applyAlignment="1" applyProtection="1">
      <alignment horizontal="center" vertical="center" wrapText="1"/>
      <protection locked="0"/>
    </xf>
    <xf numFmtId="0" fontId="6" fillId="27" borderId="11" xfId="0" applyFont="1" applyFill="1" applyBorder="1" applyAlignment="1">
      <alignment horizontal="center"/>
    </xf>
    <xf numFmtId="49" fontId="13" fillId="0" borderId="10" xfId="0" applyNumberFormat="1" applyFont="1" applyFill="1" applyBorder="1" applyAlignment="1">
      <alignment horizontal="center" vertical="center" wrapText="1"/>
    </xf>
    <xf numFmtId="49" fontId="13" fillId="0" borderId="10" xfId="0" applyNumberFormat="1" applyFont="1" applyFill="1" applyBorder="1" applyAlignment="1">
      <alignment vertical="center" wrapText="1"/>
    </xf>
    <xf numFmtId="0" fontId="6" fillId="0" borderId="10" xfId="0" applyFont="1" applyFill="1" applyBorder="1" applyAlignment="1">
      <alignment horizontal="center"/>
    </xf>
    <xf numFmtId="0" fontId="3" fillId="2" borderId="10" xfId="0" applyFont="1" applyFill="1" applyBorder="1" applyAlignment="1">
      <alignment horizontal="center"/>
    </xf>
    <xf numFmtId="0" fontId="6" fillId="27" borderId="10" xfId="0" applyFont="1" applyFill="1" applyBorder="1" applyAlignment="1">
      <alignment horizontal="center"/>
    </xf>
    <xf numFmtId="0" fontId="6" fillId="0" borderId="10" xfId="0" applyFont="1" applyFill="1" applyBorder="1" applyAlignment="1" applyProtection="1">
      <alignment horizontal="center"/>
      <protection locked="0"/>
    </xf>
    <xf numFmtId="0" fontId="6" fillId="28" borderId="10" xfId="0" applyFont="1" applyFill="1" applyBorder="1" applyAlignment="1" applyProtection="1">
      <alignment horizontal="center"/>
      <protection locked="0"/>
    </xf>
    <xf numFmtId="0" fontId="6" fillId="28" borderId="10" xfId="0" applyFont="1" applyFill="1" applyBorder="1" applyAlignment="1">
      <alignment horizontal="center"/>
    </xf>
    <xf numFmtId="49" fontId="21" fillId="0" borderId="10" xfId="0" applyNumberFormat="1" applyFont="1" applyFill="1" applyBorder="1" applyAlignment="1" applyProtection="1">
      <alignment horizontal="center" vertical="center" wrapText="1"/>
      <protection locked="0"/>
    </xf>
    <xf numFmtId="196" fontId="4" fillId="0" borderId="0" xfId="0" applyNumberFormat="1" applyFont="1" applyFill="1" applyBorder="1" applyAlignment="1">
      <alignment wrapText="1"/>
    </xf>
    <xf numFmtId="196" fontId="4" fillId="28" borderId="0" xfId="0" applyNumberFormat="1" applyFont="1" applyFill="1" applyBorder="1" applyAlignment="1">
      <alignment wrapText="1"/>
    </xf>
    <xf numFmtId="196" fontId="31" fillId="0" borderId="0" xfId="0" applyNumberFormat="1" applyFont="1" applyFill="1" applyBorder="1" applyAlignment="1" applyProtection="1">
      <alignment/>
      <protection locked="0"/>
    </xf>
    <xf numFmtId="196" fontId="32" fillId="28" borderId="0" xfId="0" applyNumberFormat="1" applyFont="1" applyFill="1" applyBorder="1" applyAlignment="1">
      <alignment wrapText="1"/>
    </xf>
    <xf numFmtId="196" fontId="33" fillId="0" borderId="0" xfId="0" applyNumberFormat="1" applyFont="1" applyFill="1" applyBorder="1" applyAlignment="1">
      <alignment wrapText="1"/>
    </xf>
    <xf numFmtId="196" fontId="33" fillId="28" borderId="0" xfId="0" applyNumberFormat="1" applyFont="1" applyFill="1" applyBorder="1" applyAlignment="1">
      <alignment wrapText="1"/>
    </xf>
    <xf numFmtId="196" fontId="34" fillId="28" borderId="0" xfId="0" applyNumberFormat="1" applyFont="1" applyFill="1" applyBorder="1" applyAlignment="1">
      <alignment wrapText="1"/>
    </xf>
    <xf numFmtId="196" fontId="4" fillId="0" borderId="0" xfId="0" applyNumberFormat="1" applyFont="1" applyFill="1" applyBorder="1" applyAlignment="1" applyProtection="1">
      <alignment/>
      <protection locked="0"/>
    </xf>
    <xf numFmtId="196" fontId="25" fillId="0" borderId="0" xfId="0" applyNumberFormat="1" applyFont="1" applyFill="1" applyBorder="1" applyAlignment="1">
      <alignment wrapText="1"/>
    </xf>
    <xf numFmtId="196" fontId="25" fillId="28" borderId="0" xfId="0" applyNumberFormat="1" applyFont="1" applyFill="1" applyBorder="1" applyAlignment="1">
      <alignment wrapText="1"/>
    </xf>
    <xf numFmtId="196" fontId="31" fillId="28" borderId="0" xfId="0" applyNumberFormat="1" applyFont="1" applyFill="1" applyBorder="1" applyAlignment="1" applyProtection="1">
      <alignment/>
      <protection locked="0"/>
    </xf>
    <xf numFmtId="196" fontId="35" fillId="0" borderId="0" xfId="0" applyNumberFormat="1" applyFont="1" applyFill="1" applyBorder="1" applyAlignment="1" applyProtection="1">
      <alignment/>
      <protection locked="0"/>
    </xf>
    <xf numFmtId="196" fontId="33" fillId="0" borderId="0" xfId="0" applyNumberFormat="1" applyFont="1" applyFill="1" applyAlignment="1">
      <alignment horizontal="right" wrapText="1"/>
    </xf>
    <xf numFmtId="196" fontId="4" fillId="0" borderId="0" xfId="0" applyNumberFormat="1" applyFont="1" applyFill="1" applyAlignment="1">
      <alignment horizontal="right" wrapText="1"/>
    </xf>
    <xf numFmtId="196" fontId="36" fillId="0" borderId="0" xfId="0" applyNumberFormat="1" applyFont="1" applyFill="1" applyBorder="1" applyAlignment="1">
      <alignment wrapText="1"/>
    </xf>
    <xf numFmtId="196" fontId="33" fillId="0" borderId="0" xfId="0" applyNumberFormat="1" applyFont="1" applyFill="1" applyBorder="1" applyAlignment="1" applyProtection="1">
      <alignment/>
      <protection locked="0"/>
    </xf>
    <xf numFmtId="196" fontId="4" fillId="0" borderId="0" xfId="0" applyNumberFormat="1" applyFont="1" applyFill="1" applyAlignment="1">
      <alignment horizontal="right"/>
    </xf>
    <xf numFmtId="196" fontId="33" fillId="0" borderId="0" xfId="0" applyNumberFormat="1" applyFont="1" applyFill="1" applyBorder="1" applyAlignment="1">
      <alignment horizontal="right" wrapText="1"/>
    </xf>
    <xf numFmtId="196" fontId="34" fillId="0" borderId="0" xfId="0" applyNumberFormat="1" applyFont="1" applyFill="1" applyBorder="1" applyAlignment="1">
      <alignment wrapText="1"/>
    </xf>
    <xf numFmtId="196" fontId="34" fillId="28" borderId="0" xfId="0" applyNumberFormat="1" applyFont="1" applyFill="1" applyBorder="1" applyAlignment="1">
      <alignment wrapText="1"/>
    </xf>
    <xf numFmtId="196" fontId="34" fillId="0" borderId="0" xfId="0" applyNumberFormat="1" applyFont="1" applyFill="1" applyBorder="1" applyAlignment="1">
      <alignment wrapText="1"/>
    </xf>
    <xf numFmtId="196" fontId="33" fillId="29" borderId="0" xfId="0" applyNumberFormat="1" applyFont="1" applyFill="1" applyBorder="1" applyAlignment="1">
      <alignment wrapText="1"/>
    </xf>
    <xf numFmtId="196" fontId="37" fillId="28" borderId="0" xfId="0" applyNumberFormat="1" applyFont="1" applyFill="1" applyBorder="1" applyAlignment="1" applyProtection="1">
      <alignment/>
      <protection locked="0"/>
    </xf>
    <xf numFmtId="196" fontId="4" fillId="28" borderId="0" xfId="0" applyNumberFormat="1" applyFont="1" applyFill="1" applyBorder="1" applyAlignment="1" applyProtection="1">
      <alignment/>
      <protection locked="0"/>
    </xf>
    <xf numFmtId="196" fontId="70" fillId="0" borderId="0" xfId="0" applyNumberFormat="1" applyFont="1" applyFill="1" applyBorder="1" applyAlignment="1">
      <alignment wrapText="1"/>
    </xf>
    <xf numFmtId="196" fontId="71" fillId="0" borderId="0" xfId="0" applyNumberFormat="1" applyFont="1" applyFill="1" applyBorder="1" applyAlignment="1">
      <alignment wrapText="1"/>
    </xf>
    <xf numFmtId="196" fontId="70" fillId="28" borderId="0" xfId="0" applyNumberFormat="1" applyFont="1" applyFill="1" applyBorder="1" applyAlignment="1" applyProtection="1">
      <alignment/>
      <protection locked="0"/>
    </xf>
    <xf numFmtId="196" fontId="70" fillId="28" borderId="0" xfId="0" applyNumberFormat="1" applyFont="1" applyFill="1" applyBorder="1" applyAlignment="1">
      <alignment wrapText="1"/>
    </xf>
    <xf numFmtId="196" fontId="4" fillId="0" borderId="0" xfId="0" applyNumberFormat="1" applyFont="1" applyFill="1" applyBorder="1" applyAlignment="1">
      <alignment horizontal="right" wrapText="1"/>
    </xf>
    <xf numFmtId="196" fontId="4" fillId="28" borderId="0" xfId="0" applyNumberFormat="1" applyFont="1" applyFill="1" applyBorder="1" applyAlignment="1">
      <alignment horizontal="right" wrapText="1"/>
    </xf>
    <xf numFmtId="196" fontId="70" fillId="28" borderId="0" xfId="0" applyNumberFormat="1" applyFont="1" applyFill="1" applyBorder="1" applyAlignment="1">
      <alignment horizontal="right" wrapText="1"/>
    </xf>
    <xf numFmtId="196" fontId="72" fillId="0" borderId="0" xfId="0" applyNumberFormat="1" applyFont="1" applyFill="1" applyBorder="1" applyAlignment="1" applyProtection="1">
      <alignment/>
      <protection locked="0"/>
    </xf>
    <xf numFmtId="196" fontId="35" fillId="28" borderId="0" xfId="0" applyNumberFormat="1" applyFont="1" applyFill="1" applyBorder="1" applyAlignment="1" applyProtection="1">
      <alignment/>
      <protection locked="0"/>
    </xf>
    <xf numFmtId="196" fontId="25" fillId="0" borderId="0" xfId="0" applyNumberFormat="1" applyFont="1" applyFill="1" applyBorder="1" applyAlignment="1">
      <alignment horizontal="center" wrapText="1"/>
    </xf>
    <xf numFmtId="196" fontId="25" fillId="0" borderId="0" xfId="0" applyNumberFormat="1" applyFont="1" applyFill="1" applyBorder="1" applyAlignment="1">
      <alignment horizontal="right" wrapText="1"/>
    </xf>
    <xf numFmtId="196" fontId="25" fillId="28" borderId="0" xfId="0" applyNumberFormat="1" applyFont="1" applyFill="1" applyBorder="1" applyAlignment="1">
      <alignment horizontal="center" wrapText="1"/>
    </xf>
    <xf numFmtId="196" fontId="25" fillId="28" borderId="0" xfId="0" applyNumberFormat="1" applyFont="1" applyFill="1" applyBorder="1" applyAlignment="1">
      <alignment horizontal="right" wrapText="1"/>
    </xf>
    <xf numFmtId="2" fontId="38" fillId="0" borderId="0" xfId="0" applyNumberFormat="1" applyFont="1" applyAlignment="1">
      <alignment/>
    </xf>
    <xf numFmtId="2" fontId="38" fillId="0" borderId="0" xfId="0" applyNumberFormat="1" applyFont="1" applyAlignment="1">
      <alignment horizontal="left"/>
    </xf>
    <xf numFmtId="195" fontId="3" fillId="0" borderId="0" xfId="0" applyNumberFormat="1" applyFont="1" applyFill="1" applyBorder="1" applyAlignment="1">
      <alignment wrapText="1"/>
    </xf>
    <xf numFmtId="195" fontId="3" fillId="0" borderId="0" xfId="0" applyNumberFormat="1" applyFont="1" applyFill="1" applyBorder="1" applyAlignment="1">
      <alignment/>
    </xf>
    <xf numFmtId="195" fontId="3" fillId="0" borderId="0" xfId="0" applyNumberFormat="1" applyFont="1" applyFill="1" applyBorder="1" applyAlignment="1">
      <alignment horizontal="right"/>
    </xf>
    <xf numFmtId="195" fontId="3" fillId="0" borderId="0" xfId="0" applyNumberFormat="1" applyFont="1" applyFill="1" applyAlignment="1">
      <alignment wrapText="1"/>
    </xf>
    <xf numFmtId="198" fontId="25" fillId="0" borderId="0" xfId="0" applyNumberFormat="1" applyFont="1" applyFill="1" applyBorder="1" applyAlignment="1">
      <alignment wrapText="1"/>
    </xf>
    <xf numFmtId="0" fontId="38" fillId="0" borderId="0" xfId="0" applyFont="1" applyAlignment="1">
      <alignment horizontal="right"/>
    </xf>
    <xf numFmtId="0" fontId="25" fillId="0" borderId="0" xfId="0" applyFont="1" applyFill="1" applyBorder="1" applyAlignment="1">
      <alignment/>
    </xf>
    <xf numFmtId="49" fontId="25" fillId="0" borderId="0" xfId="0" applyNumberFormat="1" applyFont="1" applyFill="1" applyBorder="1" applyAlignment="1">
      <alignment horizontal="center"/>
    </xf>
    <xf numFmtId="49" fontId="25" fillId="27" borderId="0" xfId="0" applyNumberFormat="1" applyFont="1" applyFill="1" applyBorder="1" applyAlignment="1">
      <alignment horizontal="center" wrapText="1"/>
    </xf>
    <xf numFmtId="198" fontId="25" fillId="0" borderId="0" xfId="0" applyNumberFormat="1" applyFont="1" applyFill="1" applyBorder="1" applyAlignment="1">
      <alignment/>
    </xf>
    <xf numFmtId="0" fontId="5" fillId="0" borderId="0" xfId="0" applyFont="1" applyFill="1" applyAlignment="1">
      <alignment/>
    </xf>
    <xf numFmtId="0" fontId="39" fillId="0" borderId="0" xfId="0" applyFont="1" applyFill="1" applyAlignment="1">
      <alignment/>
    </xf>
    <xf numFmtId="2" fontId="12" fillId="0" borderId="0" xfId="0" applyNumberFormat="1" applyFont="1" applyFill="1" applyBorder="1" applyAlignment="1">
      <alignment wrapText="1"/>
    </xf>
    <xf numFmtId="198" fontId="16" fillId="28" borderId="0" xfId="0" applyNumberFormat="1" applyFont="1" applyFill="1" applyBorder="1" applyAlignment="1" applyProtection="1">
      <alignment/>
      <protection locked="0"/>
    </xf>
    <xf numFmtId="196" fontId="12" fillId="0" borderId="0" xfId="0" applyNumberFormat="1" applyFont="1" applyFill="1" applyBorder="1" applyAlignment="1">
      <alignment wrapText="1"/>
    </xf>
    <xf numFmtId="196" fontId="3" fillId="0" borderId="0" xfId="0" applyNumberFormat="1" applyFont="1" applyFill="1" applyBorder="1" applyAlignment="1">
      <alignment wrapText="1"/>
    </xf>
    <xf numFmtId="196" fontId="4" fillId="0" borderId="0" xfId="0" applyNumberFormat="1" applyFont="1" applyFill="1" applyAlignment="1">
      <alignment wrapText="1"/>
    </xf>
    <xf numFmtId="198" fontId="27" fillId="0" borderId="0" xfId="0" applyNumberFormat="1" applyFont="1" applyFill="1" applyAlignment="1">
      <alignment horizontal="center" wrapText="1"/>
    </xf>
    <xf numFmtId="49" fontId="13" fillId="0" borderId="10" xfId="0" applyNumberFormat="1" applyFont="1" applyFill="1" applyBorder="1" applyAlignment="1">
      <alignment horizontal="center" vertical="center" wrapText="1"/>
    </xf>
    <xf numFmtId="196" fontId="34" fillId="28" borderId="0" xfId="0" applyNumberFormat="1" applyFont="1" applyFill="1" applyBorder="1" applyAlignment="1">
      <alignment horizontal="right" wrapText="1"/>
    </xf>
    <xf numFmtId="49" fontId="13" fillId="28" borderId="10" xfId="0" applyNumberFormat="1" applyFont="1" applyFill="1" applyBorder="1" applyAlignment="1" applyProtection="1">
      <alignment horizontal="center" vertical="center" wrapText="1"/>
      <protection locked="0"/>
    </xf>
    <xf numFmtId="49" fontId="21" fillId="0" borderId="10" xfId="0" applyNumberFormat="1" applyFont="1" applyFill="1" applyBorder="1" applyAlignment="1" applyProtection="1">
      <alignment horizontal="center" vertical="center" wrapText="1"/>
      <protection locked="0"/>
    </xf>
    <xf numFmtId="2" fontId="27" fillId="0" borderId="0" xfId="0" applyNumberFormat="1" applyFont="1" applyFill="1" applyAlignment="1">
      <alignment horizontal="left" wrapText="1"/>
    </xf>
    <xf numFmtId="49" fontId="13" fillId="0" borderId="10" xfId="0" applyNumberFormat="1" applyFont="1" applyFill="1" applyBorder="1" applyAlignment="1" applyProtection="1">
      <alignment horizontal="center" vertical="center" wrapText="1"/>
      <protection locked="0"/>
    </xf>
    <xf numFmtId="49" fontId="13" fillId="27" borderId="10" xfId="0" applyNumberFormat="1" applyFont="1" applyFill="1" applyBorder="1" applyAlignment="1">
      <alignment horizontal="center" vertical="center" wrapText="1"/>
    </xf>
    <xf numFmtId="0" fontId="13" fillId="0" borderId="10" xfId="0" applyFont="1" applyFill="1" applyBorder="1" applyAlignment="1">
      <alignment horizontal="center" vertical="center" wrapText="1"/>
    </xf>
    <xf numFmtId="49" fontId="21" fillId="0" borderId="12" xfId="0" applyNumberFormat="1" applyFont="1" applyFill="1" applyBorder="1" applyAlignment="1" applyProtection="1">
      <alignment horizontal="center" vertical="center" wrapText="1"/>
      <protection locked="0"/>
    </xf>
    <xf numFmtId="49" fontId="21" fillId="0" borderId="13" xfId="0" applyNumberFormat="1" applyFont="1" applyFill="1" applyBorder="1" applyAlignment="1" applyProtection="1">
      <alignment horizontal="center" vertical="center" wrapText="1"/>
      <protection locked="0"/>
    </xf>
    <xf numFmtId="49" fontId="21" fillId="0" borderId="14" xfId="0" applyNumberFormat="1" applyFont="1" applyFill="1" applyBorder="1" applyAlignment="1" applyProtection="1">
      <alignment horizontal="center" vertical="center" wrapText="1"/>
      <protection locked="0"/>
    </xf>
    <xf numFmtId="49" fontId="21" fillId="0" borderId="15" xfId="0" applyNumberFormat="1" applyFont="1" applyFill="1" applyBorder="1" applyAlignment="1" applyProtection="1">
      <alignment horizontal="center" vertical="center" wrapText="1"/>
      <protection locked="0"/>
    </xf>
    <xf numFmtId="0" fontId="39" fillId="0" borderId="0" xfId="0" applyFont="1" applyFill="1" applyAlignment="1">
      <alignment horizontal="left" wrapText="1"/>
    </xf>
    <xf numFmtId="49" fontId="5" fillId="0" borderId="0" xfId="0" applyNumberFormat="1" applyFont="1" applyFill="1" applyAlignment="1">
      <alignment horizontal="center" wrapText="1"/>
    </xf>
    <xf numFmtId="49" fontId="3" fillId="0" borderId="0" xfId="0" applyNumberFormat="1" applyFont="1" applyFill="1" applyAlignment="1">
      <alignment horizontal="center" wrapText="1"/>
    </xf>
    <xf numFmtId="0" fontId="3" fillId="0" borderId="0" xfId="0" applyFont="1" applyFill="1" applyBorder="1" applyAlignment="1">
      <alignment horizontal="center" wrapText="1"/>
    </xf>
    <xf numFmtId="0" fontId="39" fillId="0" borderId="0" xfId="0" applyFont="1" applyFill="1" applyAlignment="1">
      <alignment horizontal="left"/>
    </xf>
    <xf numFmtId="49" fontId="39" fillId="0" borderId="0" xfId="0" applyNumberFormat="1" applyFont="1" applyFill="1" applyAlignment="1">
      <alignment horizontal="center" wrapText="1"/>
    </xf>
    <xf numFmtId="49" fontId="13" fillId="2" borderId="10" xfId="0" applyNumberFormat="1"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21">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V343"/>
  <sheetViews>
    <sheetView tabSelected="1" zoomScale="66" zoomScaleNormal="66" zoomScalePageLayoutView="0" workbookViewId="0" topLeftCell="E1">
      <selection activeCell="N68" sqref="N68"/>
    </sheetView>
  </sheetViews>
  <sheetFormatPr defaultColWidth="9.00390625" defaultRowHeight="12.75"/>
  <cols>
    <col min="1" max="1" width="4.00390625" style="2" hidden="1" customWidth="1"/>
    <col min="2" max="2" width="8.25390625" style="2" hidden="1" customWidth="1"/>
    <col min="3" max="5" width="16.00390625" style="26" customWidth="1"/>
    <col min="6" max="6" width="10.25390625" style="114" hidden="1" customWidth="1"/>
    <col min="7" max="7" width="66.625" style="1" customWidth="1"/>
    <col min="8" max="8" width="19.25390625" style="1" customWidth="1"/>
    <col min="9" max="9" width="19.875" style="1" customWidth="1"/>
    <col min="10" max="10" width="18.375" style="1" customWidth="1"/>
    <col min="11" max="11" width="17.375" style="1" customWidth="1"/>
    <col min="12" max="12" width="11.75390625" style="101" hidden="1" customWidth="1"/>
    <col min="13" max="14" width="18.25390625" style="1" customWidth="1"/>
    <col min="15" max="15" width="17.75390625" style="17" customWidth="1"/>
    <col min="16" max="16" width="19.00390625" style="1" customWidth="1"/>
    <col min="17" max="17" width="17.125" style="1" customWidth="1"/>
    <col min="18" max="18" width="21.875" style="1" customWidth="1"/>
    <col min="19" max="19" width="18.125" style="1" customWidth="1"/>
    <col min="20" max="20" width="19.625" style="146" hidden="1" customWidth="1"/>
    <col min="21" max="21" width="19.875" style="2" customWidth="1"/>
    <col min="22" max="22" width="17.125" style="2" bestFit="1" customWidth="1"/>
    <col min="23" max="23" width="18.125" style="2" customWidth="1"/>
    <col min="24" max="16384" width="9.125" style="2" customWidth="1"/>
  </cols>
  <sheetData>
    <row r="1" spans="3:19" s="9" customFormat="1" ht="26.25" customHeight="1">
      <c r="C1" s="26"/>
      <c r="D1" s="26"/>
      <c r="E1" s="26"/>
      <c r="F1" s="114"/>
      <c r="G1" s="8"/>
      <c r="H1" s="8"/>
      <c r="I1" s="8"/>
      <c r="J1" s="8"/>
      <c r="K1" s="8"/>
      <c r="L1" s="100"/>
      <c r="M1" s="8"/>
      <c r="N1" s="8"/>
      <c r="O1" s="17"/>
      <c r="P1" s="235" t="s">
        <v>717</v>
      </c>
      <c r="Q1" s="235"/>
      <c r="R1" s="235"/>
      <c r="S1" s="235"/>
    </row>
    <row r="2" spans="3:19" s="9" customFormat="1" ht="31.5" customHeight="1">
      <c r="C2" s="26"/>
      <c r="D2" s="26"/>
      <c r="E2" s="26"/>
      <c r="F2" s="114"/>
      <c r="G2" s="8"/>
      <c r="H2" s="8"/>
      <c r="I2" s="8"/>
      <c r="J2" s="8"/>
      <c r="K2" s="8"/>
      <c r="L2" s="100"/>
      <c r="M2" s="8"/>
      <c r="N2" s="8"/>
      <c r="O2" s="215" t="s">
        <v>723</v>
      </c>
      <c r="P2" s="239" t="s">
        <v>724</v>
      </c>
      <c r="Q2" s="239"/>
      <c r="R2" s="239"/>
      <c r="S2" s="239"/>
    </row>
    <row r="3" spans="3:19" s="9" customFormat="1" ht="30.75" customHeight="1">
      <c r="C3" s="26"/>
      <c r="D3" s="26"/>
      <c r="E3" s="26"/>
      <c r="F3" s="114"/>
      <c r="G3" s="8"/>
      <c r="H3" s="8"/>
      <c r="I3" s="8"/>
      <c r="J3" s="8"/>
      <c r="K3" s="8"/>
      <c r="L3" s="100"/>
      <c r="M3" s="8"/>
      <c r="N3" s="8"/>
      <c r="O3" s="215"/>
      <c r="P3" s="216" t="s">
        <v>725</v>
      </c>
      <c r="Q3" s="216"/>
      <c r="R3" s="216"/>
      <c r="S3" s="216"/>
    </row>
    <row r="4" spans="3:20" s="9" customFormat="1" ht="36" customHeight="1">
      <c r="C4" s="26"/>
      <c r="D4" s="240" t="s">
        <v>726</v>
      </c>
      <c r="E4" s="240"/>
      <c r="F4" s="240"/>
      <c r="G4" s="240"/>
      <c r="H4" s="240"/>
      <c r="I4" s="240"/>
      <c r="J4" s="240"/>
      <c r="K4" s="240"/>
      <c r="L4" s="240"/>
      <c r="M4" s="240"/>
      <c r="N4" s="240"/>
      <c r="O4" s="240"/>
      <c r="P4" s="240"/>
      <c r="Q4" s="240"/>
      <c r="R4" s="240"/>
      <c r="S4" s="240"/>
      <c r="T4" s="240"/>
    </row>
    <row r="5" spans="3:20" s="9" customFormat="1" ht="24" customHeight="1">
      <c r="C5" s="26"/>
      <c r="D5" s="26"/>
      <c r="E5" s="26"/>
      <c r="F5" s="236"/>
      <c r="G5" s="236"/>
      <c r="H5" s="236"/>
      <c r="I5" s="236"/>
      <c r="J5" s="236"/>
      <c r="K5" s="236"/>
      <c r="L5" s="236"/>
      <c r="M5" s="236"/>
      <c r="N5" s="236"/>
      <c r="O5" s="237"/>
      <c r="P5" s="236"/>
      <c r="Q5" s="236"/>
      <c r="R5" s="236"/>
      <c r="S5" s="236"/>
      <c r="T5" s="236"/>
    </row>
    <row r="6" spans="19:20" ht="19.5" thickBot="1">
      <c r="S6" s="238" t="s">
        <v>227</v>
      </c>
      <c r="T6" s="238"/>
    </row>
    <row r="7" spans="3:20" s="10" customFormat="1" ht="38.25" customHeight="1" thickBot="1">
      <c r="C7" s="223" t="s">
        <v>15</v>
      </c>
      <c r="D7" s="241" t="s">
        <v>427</v>
      </c>
      <c r="E7" s="241" t="s">
        <v>428</v>
      </c>
      <c r="F7" s="229" t="s">
        <v>16</v>
      </c>
      <c r="G7" s="223" t="s">
        <v>17</v>
      </c>
      <c r="H7" s="230" t="s">
        <v>202</v>
      </c>
      <c r="I7" s="230"/>
      <c r="J7" s="230"/>
      <c r="K7" s="230" t="s">
        <v>228</v>
      </c>
      <c r="L7" s="230"/>
      <c r="M7" s="230"/>
      <c r="N7" s="230"/>
      <c r="O7" s="230"/>
      <c r="P7" s="230" t="s">
        <v>716</v>
      </c>
      <c r="Q7" s="230"/>
      <c r="R7" s="230"/>
      <c r="S7" s="230"/>
      <c r="T7" s="154"/>
    </row>
    <row r="8" spans="3:20" s="10" customFormat="1" ht="21.75" customHeight="1" thickBot="1">
      <c r="C8" s="223"/>
      <c r="D8" s="241"/>
      <c r="E8" s="241"/>
      <c r="F8" s="229"/>
      <c r="G8" s="223"/>
      <c r="H8" s="228" t="s">
        <v>713</v>
      </c>
      <c r="I8" s="226" t="s">
        <v>714</v>
      </c>
      <c r="J8" s="225" t="s">
        <v>715</v>
      </c>
      <c r="K8" s="228" t="s">
        <v>713</v>
      </c>
      <c r="L8" s="226" t="s">
        <v>14</v>
      </c>
      <c r="M8" s="231" t="s">
        <v>714</v>
      </c>
      <c r="N8" s="232"/>
      <c r="O8" s="225" t="s">
        <v>715</v>
      </c>
      <c r="P8" s="228" t="s">
        <v>713</v>
      </c>
      <c r="Q8" s="226" t="s">
        <v>714</v>
      </c>
      <c r="R8" s="225" t="s">
        <v>722</v>
      </c>
      <c r="S8" s="225" t="s">
        <v>715</v>
      </c>
      <c r="T8" s="147"/>
    </row>
    <row r="9" spans="3:20" s="10" customFormat="1" ht="32.25" customHeight="1" thickBot="1">
      <c r="C9" s="223"/>
      <c r="D9" s="241"/>
      <c r="E9" s="241"/>
      <c r="F9" s="229"/>
      <c r="G9" s="158"/>
      <c r="H9" s="228"/>
      <c r="I9" s="226"/>
      <c r="J9" s="225"/>
      <c r="K9" s="228"/>
      <c r="L9" s="226"/>
      <c r="M9" s="233"/>
      <c r="N9" s="234"/>
      <c r="O9" s="225"/>
      <c r="P9" s="228"/>
      <c r="Q9" s="226"/>
      <c r="R9" s="225"/>
      <c r="S9" s="225"/>
      <c r="T9" s="128" t="s">
        <v>203</v>
      </c>
    </row>
    <row r="10" spans="3:20" s="10" customFormat="1" ht="83.25" customHeight="1" thickBot="1">
      <c r="C10" s="223"/>
      <c r="D10" s="241"/>
      <c r="E10" s="241"/>
      <c r="F10" s="229"/>
      <c r="G10" s="157" t="s">
        <v>116</v>
      </c>
      <c r="H10" s="228"/>
      <c r="I10" s="226"/>
      <c r="J10" s="225"/>
      <c r="K10" s="228"/>
      <c r="L10" s="226"/>
      <c r="M10" s="165" t="s">
        <v>719</v>
      </c>
      <c r="N10" s="165" t="s">
        <v>720</v>
      </c>
      <c r="O10" s="225"/>
      <c r="P10" s="228"/>
      <c r="Q10" s="226"/>
      <c r="R10" s="225"/>
      <c r="S10" s="225"/>
      <c r="T10" s="155" t="s">
        <v>266</v>
      </c>
    </row>
    <row r="11" spans="3:20" s="10" customFormat="1" ht="17.25" customHeight="1" thickBot="1">
      <c r="C11" s="159">
        <v>1</v>
      </c>
      <c r="D11" s="160">
        <v>2</v>
      </c>
      <c r="E11" s="160">
        <v>3</v>
      </c>
      <c r="F11" s="161">
        <v>2</v>
      </c>
      <c r="G11" s="159">
        <v>4</v>
      </c>
      <c r="H11" s="162">
        <v>5</v>
      </c>
      <c r="I11" s="159">
        <v>6</v>
      </c>
      <c r="J11" s="163">
        <v>7</v>
      </c>
      <c r="K11" s="159">
        <v>8</v>
      </c>
      <c r="L11" s="162">
        <v>9</v>
      </c>
      <c r="M11" s="159">
        <v>10</v>
      </c>
      <c r="N11" s="159">
        <v>11</v>
      </c>
      <c r="O11" s="163">
        <v>12</v>
      </c>
      <c r="P11" s="159">
        <v>13</v>
      </c>
      <c r="Q11" s="162">
        <v>14</v>
      </c>
      <c r="R11" s="164">
        <v>15</v>
      </c>
      <c r="S11" s="163">
        <v>16</v>
      </c>
      <c r="T11" s="156">
        <v>15</v>
      </c>
    </row>
    <row r="12" spans="3:21" s="7" customFormat="1" ht="42.75" customHeight="1">
      <c r="C12" s="30" t="s">
        <v>135</v>
      </c>
      <c r="D12" s="30"/>
      <c r="E12" s="30"/>
      <c r="F12" s="115"/>
      <c r="G12" s="85" t="s">
        <v>412</v>
      </c>
      <c r="H12" s="166"/>
      <c r="I12" s="166"/>
      <c r="J12" s="167"/>
      <c r="K12" s="166"/>
      <c r="L12" s="166"/>
      <c r="M12" s="166"/>
      <c r="N12" s="166"/>
      <c r="O12" s="167"/>
      <c r="P12" s="166"/>
      <c r="Q12" s="166"/>
      <c r="R12" s="167"/>
      <c r="S12" s="167"/>
      <c r="T12" s="129"/>
      <c r="U12" s="22"/>
    </row>
    <row r="13" spans="3:21" s="7" customFormat="1" ht="56.25" customHeight="1">
      <c r="C13" s="151" t="s">
        <v>141</v>
      </c>
      <c r="D13" s="30"/>
      <c r="E13" s="30"/>
      <c r="F13" s="115"/>
      <c r="G13" s="31" t="s">
        <v>411</v>
      </c>
      <c r="H13" s="166"/>
      <c r="I13" s="166"/>
      <c r="J13" s="167"/>
      <c r="K13" s="166" t="s">
        <v>302</v>
      </c>
      <c r="L13" s="166"/>
      <c r="M13" s="166"/>
      <c r="N13" s="166"/>
      <c r="O13" s="167"/>
      <c r="P13" s="166"/>
      <c r="Q13" s="166"/>
      <c r="R13" s="167"/>
      <c r="S13" s="167"/>
      <c r="T13" s="129"/>
      <c r="U13" s="22"/>
    </row>
    <row r="14" spans="1:20" s="18" customFormat="1" ht="90" customHeight="1">
      <c r="A14" s="18">
        <v>1</v>
      </c>
      <c r="B14" s="18">
        <v>1</v>
      </c>
      <c r="C14" s="32" t="s">
        <v>303</v>
      </c>
      <c r="D14" s="32" t="s">
        <v>437</v>
      </c>
      <c r="E14" s="32" t="s">
        <v>438</v>
      </c>
      <c r="F14" s="115" t="s">
        <v>205</v>
      </c>
      <c r="G14" s="60" t="s">
        <v>618</v>
      </c>
      <c r="H14" s="166">
        <f>SUM(H15:H16)</f>
        <v>10624.88482</v>
      </c>
      <c r="I14" s="166">
        <f>SUM(I15:I16)</f>
        <v>5301.8845599999995</v>
      </c>
      <c r="J14" s="167">
        <f>I14/H14*100</f>
        <v>49.90063092279244</v>
      </c>
      <c r="K14" s="166">
        <f aca="true" t="shared" si="0" ref="K14:T14">SUM(K15:K16)</f>
        <v>784.5</v>
      </c>
      <c r="L14" s="166">
        <f t="shared" si="0"/>
        <v>0</v>
      </c>
      <c r="M14" s="166">
        <f t="shared" si="0"/>
        <v>0</v>
      </c>
      <c r="N14" s="166">
        <f t="shared" si="0"/>
        <v>0</v>
      </c>
      <c r="O14" s="167">
        <f>M14/K14*100</f>
        <v>0</v>
      </c>
      <c r="P14" s="166">
        <f>H14+K14</f>
        <v>11409.38482</v>
      </c>
      <c r="Q14" s="166">
        <f>I14+M14</f>
        <v>5301.8845599999995</v>
      </c>
      <c r="R14" s="167">
        <f>Q14-P14</f>
        <v>-6107.50026</v>
      </c>
      <c r="S14" s="167">
        <f>Q14/P14*100</f>
        <v>46.469504216442054</v>
      </c>
      <c r="T14" s="129">
        <f t="shared" si="0"/>
        <v>774</v>
      </c>
    </row>
    <row r="15" spans="3:20" s="7" customFormat="1" ht="43.5" customHeight="1">
      <c r="C15" s="32"/>
      <c r="D15" s="32"/>
      <c r="E15" s="32"/>
      <c r="F15" s="115"/>
      <c r="G15" s="60" t="s">
        <v>204</v>
      </c>
      <c r="H15" s="168">
        <v>10614.88482</v>
      </c>
      <c r="I15" s="168">
        <v>5301.29638</v>
      </c>
      <c r="J15" s="167">
        <f aca="true" t="shared" si="1" ref="J15:J30">I15/H15*100</f>
        <v>49.942099889878975</v>
      </c>
      <c r="K15" s="168">
        <v>784.5</v>
      </c>
      <c r="L15" s="168"/>
      <c r="M15" s="166">
        <v>0</v>
      </c>
      <c r="N15" s="166">
        <v>0</v>
      </c>
      <c r="O15" s="167">
        <f>M15/K15*100</f>
        <v>0</v>
      </c>
      <c r="P15" s="166">
        <f aca="true" t="shared" si="2" ref="P15:P29">H15+K15</f>
        <v>11399.38482</v>
      </c>
      <c r="Q15" s="166">
        <f aca="true" t="shared" si="3" ref="Q15:Q29">I15+M15</f>
        <v>5301.29638</v>
      </c>
      <c r="R15" s="167">
        <f aca="true" t="shared" si="4" ref="R15:R29">Q15-P15</f>
        <v>-6098.0884399999995</v>
      </c>
      <c r="S15" s="167">
        <f aca="true" t="shared" si="5" ref="S15:S29">Q15/P15*100</f>
        <v>46.505109387122175</v>
      </c>
      <c r="T15" s="130">
        <v>774</v>
      </c>
    </row>
    <row r="16" spans="3:20" s="7" customFormat="1" ht="66" customHeight="1">
      <c r="C16" s="32"/>
      <c r="D16" s="32"/>
      <c r="E16" s="32"/>
      <c r="F16" s="115"/>
      <c r="G16" s="33" t="s">
        <v>429</v>
      </c>
      <c r="H16" s="168">
        <v>10</v>
      </c>
      <c r="I16" s="166">
        <v>0.58818</v>
      </c>
      <c r="J16" s="167">
        <f t="shared" si="1"/>
        <v>5.8818</v>
      </c>
      <c r="K16" s="166"/>
      <c r="L16" s="166"/>
      <c r="M16" s="166"/>
      <c r="N16" s="166"/>
      <c r="O16" s="169"/>
      <c r="P16" s="166">
        <f t="shared" si="2"/>
        <v>10</v>
      </c>
      <c r="Q16" s="166">
        <f t="shared" si="3"/>
        <v>0.58818</v>
      </c>
      <c r="R16" s="167">
        <f t="shared" si="4"/>
        <v>-9.41182</v>
      </c>
      <c r="S16" s="167">
        <f t="shared" si="5"/>
        <v>5.8818</v>
      </c>
      <c r="T16" s="129"/>
    </row>
    <row r="17" spans="1:20" s="7" customFormat="1" ht="94.5" customHeight="1">
      <c r="A17" s="50">
        <v>11</v>
      </c>
      <c r="B17" s="7">
        <v>4</v>
      </c>
      <c r="C17" s="32" t="s">
        <v>52</v>
      </c>
      <c r="D17" s="32" t="s">
        <v>442</v>
      </c>
      <c r="E17" s="32" t="s">
        <v>443</v>
      </c>
      <c r="F17" s="115" t="s">
        <v>224</v>
      </c>
      <c r="G17" s="40" t="s">
        <v>318</v>
      </c>
      <c r="H17" s="166"/>
      <c r="I17" s="166"/>
      <c r="J17" s="167"/>
      <c r="K17" s="166">
        <v>112</v>
      </c>
      <c r="L17" s="166"/>
      <c r="M17" s="166">
        <v>12.2688</v>
      </c>
      <c r="N17" s="166">
        <v>12.2688</v>
      </c>
      <c r="O17" s="167">
        <f>M17/K17*100</f>
        <v>10.954285714285716</v>
      </c>
      <c r="P17" s="166">
        <f t="shared" si="2"/>
        <v>112</v>
      </c>
      <c r="Q17" s="166">
        <f t="shared" si="3"/>
        <v>12.2688</v>
      </c>
      <c r="R17" s="167">
        <f t="shared" si="4"/>
        <v>-99.7312</v>
      </c>
      <c r="S17" s="167">
        <f t="shared" si="5"/>
        <v>10.954285714285716</v>
      </c>
      <c r="T17" s="14">
        <v>112</v>
      </c>
    </row>
    <row r="18" spans="1:20" s="7" customFormat="1" ht="34.5" customHeight="1">
      <c r="A18" s="50">
        <v>12</v>
      </c>
      <c r="B18" s="7">
        <v>3</v>
      </c>
      <c r="C18" s="32" t="s">
        <v>137</v>
      </c>
      <c r="D18" s="32" t="s">
        <v>439</v>
      </c>
      <c r="E18" s="32" t="s">
        <v>441</v>
      </c>
      <c r="F18" s="115"/>
      <c r="G18" s="33" t="s">
        <v>138</v>
      </c>
      <c r="H18" s="166">
        <f>SUM(H19:H20)</f>
        <v>43.91518</v>
      </c>
      <c r="I18" s="166">
        <f>SUM(I19:I20)</f>
        <v>43.91518</v>
      </c>
      <c r="J18" s="167">
        <f t="shared" si="1"/>
        <v>100</v>
      </c>
      <c r="K18" s="166"/>
      <c r="L18" s="166"/>
      <c r="M18" s="166"/>
      <c r="N18" s="166"/>
      <c r="O18" s="167"/>
      <c r="P18" s="166">
        <f t="shared" si="2"/>
        <v>43.91518</v>
      </c>
      <c r="Q18" s="166">
        <f t="shared" si="3"/>
        <v>43.91518</v>
      </c>
      <c r="R18" s="167">
        <f t="shared" si="4"/>
        <v>0</v>
      </c>
      <c r="S18" s="167">
        <f t="shared" si="5"/>
        <v>100</v>
      </c>
      <c r="T18" s="129">
        <f>T20</f>
        <v>0</v>
      </c>
    </row>
    <row r="19" spans="2:20" s="39" customFormat="1" ht="36" customHeight="1" hidden="1">
      <c r="B19" s="39">
        <v>2</v>
      </c>
      <c r="C19" s="35" t="s">
        <v>268</v>
      </c>
      <c r="D19" s="35" t="s">
        <v>447</v>
      </c>
      <c r="E19" s="35" t="s">
        <v>441</v>
      </c>
      <c r="F19" s="119" t="s">
        <v>13</v>
      </c>
      <c r="G19" s="45" t="s">
        <v>269</v>
      </c>
      <c r="H19" s="170"/>
      <c r="I19" s="170"/>
      <c r="J19" s="167" t="e">
        <f t="shared" si="1"/>
        <v>#DIV/0!</v>
      </c>
      <c r="K19" s="170"/>
      <c r="L19" s="170"/>
      <c r="M19" s="170"/>
      <c r="N19" s="170"/>
      <c r="O19" s="171"/>
      <c r="P19" s="166">
        <f t="shared" si="2"/>
        <v>0</v>
      </c>
      <c r="Q19" s="166">
        <f t="shared" si="3"/>
        <v>0</v>
      </c>
      <c r="R19" s="167">
        <f t="shared" si="4"/>
        <v>0</v>
      </c>
      <c r="S19" s="167" t="e">
        <f t="shared" si="5"/>
        <v>#DIV/0!</v>
      </c>
      <c r="T19" s="133"/>
    </row>
    <row r="20" spans="3:20" s="39" customFormat="1" ht="116.25" customHeight="1">
      <c r="C20" s="35" t="s">
        <v>136</v>
      </c>
      <c r="D20" s="35" t="s">
        <v>440</v>
      </c>
      <c r="E20" s="35" t="s">
        <v>441</v>
      </c>
      <c r="F20" s="119" t="s">
        <v>198</v>
      </c>
      <c r="G20" s="37" t="s">
        <v>436</v>
      </c>
      <c r="H20" s="170">
        <v>43.91518</v>
      </c>
      <c r="I20" s="170">
        <v>43.91518</v>
      </c>
      <c r="J20" s="167">
        <f t="shared" si="1"/>
        <v>100</v>
      </c>
      <c r="K20" s="170"/>
      <c r="L20" s="170"/>
      <c r="M20" s="170"/>
      <c r="N20" s="170"/>
      <c r="O20" s="172"/>
      <c r="P20" s="166">
        <f t="shared" si="2"/>
        <v>43.91518</v>
      </c>
      <c r="Q20" s="166">
        <f t="shared" si="3"/>
        <v>43.91518</v>
      </c>
      <c r="R20" s="167">
        <f t="shared" si="4"/>
        <v>0</v>
      </c>
      <c r="S20" s="167">
        <f t="shared" si="5"/>
        <v>100</v>
      </c>
      <c r="T20" s="133"/>
    </row>
    <row r="21" spans="3:20" s="7" customFormat="1" ht="43.5" customHeight="1" hidden="1">
      <c r="C21" s="32" t="s">
        <v>402</v>
      </c>
      <c r="D21" s="32" t="s">
        <v>445</v>
      </c>
      <c r="E21" s="32" t="s">
        <v>446</v>
      </c>
      <c r="F21" s="115" t="s">
        <v>43</v>
      </c>
      <c r="G21" s="42" t="s">
        <v>403</v>
      </c>
      <c r="H21" s="166"/>
      <c r="I21" s="166"/>
      <c r="J21" s="167" t="e">
        <f t="shared" si="1"/>
        <v>#DIV/0!</v>
      </c>
      <c r="K21" s="166"/>
      <c r="L21" s="166">
        <f>SUM(L22:L22)</f>
        <v>0</v>
      </c>
      <c r="M21" s="166"/>
      <c r="N21" s="166"/>
      <c r="O21" s="167">
        <f>SUM(O22:O22)</f>
        <v>0</v>
      </c>
      <c r="P21" s="166">
        <f t="shared" si="2"/>
        <v>0</v>
      </c>
      <c r="Q21" s="166">
        <f t="shared" si="3"/>
        <v>0</v>
      </c>
      <c r="R21" s="167">
        <f t="shared" si="4"/>
        <v>0</v>
      </c>
      <c r="S21" s="167" t="e">
        <f t="shared" si="5"/>
        <v>#DIV/0!</v>
      </c>
      <c r="T21" s="129">
        <f>SUM(T22:T22)</f>
        <v>0</v>
      </c>
    </row>
    <row r="22" spans="3:20" s="7" customFormat="1" ht="84.75" customHeight="1" hidden="1">
      <c r="C22" s="32"/>
      <c r="D22" s="32"/>
      <c r="E22" s="32"/>
      <c r="F22" s="115"/>
      <c r="G22" s="52" t="s">
        <v>404</v>
      </c>
      <c r="H22" s="166"/>
      <c r="I22" s="166"/>
      <c r="J22" s="167" t="e">
        <f t="shared" si="1"/>
        <v>#DIV/0!</v>
      </c>
      <c r="K22" s="166"/>
      <c r="L22" s="166"/>
      <c r="M22" s="166"/>
      <c r="N22" s="166"/>
      <c r="O22" s="169"/>
      <c r="P22" s="166">
        <f t="shared" si="2"/>
        <v>0</v>
      </c>
      <c r="Q22" s="166">
        <f t="shared" si="3"/>
        <v>0</v>
      </c>
      <c r="R22" s="167">
        <f t="shared" si="4"/>
        <v>0</v>
      </c>
      <c r="S22" s="167" t="e">
        <f t="shared" si="5"/>
        <v>#DIV/0!</v>
      </c>
      <c r="T22" s="129"/>
    </row>
    <row r="23" spans="2:20" s="18" customFormat="1" ht="30.75" customHeight="1" hidden="1">
      <c r="B23" s="18">
        <v>5</v>
      </c>
      <c r="C23" s="32" t="s">
        <v>36</v>
      </c>
      <c r="D23" s="32" t="s">
        <v>449</v>
      </c>
      <c r="E23" s="32" t="s">
        <v>450</v>
      </c>
      <c r="F23" s="115"/>
      <c r="G23" s="41" t="s">
        <v>39</v>
      </c>
      <c r="H23" s="166"/>
      <c r="I23" s="166"/>
      <c r="J23" s="167" t="e">
        <f t="shared" si="1"/>
        <v>#DIV/0!</v>
      </c>
      <c r="K23" s="166"/>
      <c r="L23" s="166"/>
      <c r="M23" s="166"/>
      <c r="N23" s="166"/>
      <c r="O23" s="167">
        <f>O24</f>
        <v>0</v>
      </c>
      <c r="P23" s="166">
        <f t="shared" si="2"/>
        <v>0</v>
      </c>
      <c r="Q23" s="166">
        <f t="shared" si="3"/>
        <v>0</v>
      </c>
      <c r="R23" s="167">
        <f t="shared" si="4"/>
        <v>0</v>
      </c>
      <c r="S23" s="167" t="e">
        <f t="shared" si="5"/>
        <v>#DIV/0!</v>
      </c>
      <c r="T23" s="129">
        <f>T24</f>
        <v>0</v>
      </c>
    </row>
    <row r="24" spans="3:20" s="19" customFormat="1" ht="66" customHeight="1" hidden="1">
      <c r="C24" s="35" t="s">
        <v>35</v>
      </c>
      <c r="D24" s="35" t="s">
        <v>448</v>
      </c>
      <c r="E24" s="35" t="s">
        <v>450</v>
      </c>
      <c r="F24" s="119" t="s">
        <v>51</v>
      </c>
      <c r="G24" s="55" t="s">
        <v>451</v>
      </c>
      <c r="H24" s="170"/>
      <c r="I24" s="170"/>
      <c r="J24" s="167" t="e">
        <f t="shared" si="1"/>
        <v>#DIV/0!</v>
      </c>
      <c r="K24" s="170"/>
      <c r="L24" s="170"/>
      <c r="M24" s="170"/>
      <c r="N24" s="170"/>
      <c r="O24" s="171"/>
      <c r="P24" s="166">
        <f t="shared" si="2"/>
        <v>0</v>
      </c>
      <c r="Q24" s="166">
        <f t="shared" si="3"/>
        <v>0</v>
      </c>
      <c r="R24" s="167">
        <f t="shared" si="4"/>
        <v>0</v>
      </c>
      <c r="S24" s="167" t="e">
        <f t="shared" si="5"/>
        <v>#DIV/0!</v>
      </c>
      <c r="T24" s="135"/>
    </row>
    <row r="25" spans="3:20" s="18" customFormat="1" ht="102" customHeight="1" hidden="1">
      <c r="C25" s="32" t="s">
        <v>340</v>
      </c>
      <c r="D25" s="32" t="s">
        <v>452</v>
      </c>
      <c r="E25" s="32" t="s">
        <v>437</v>
      </c>
      <c r="F25" s="115" t="s">
        <v>286</v>
      </c>
      <c r="G25" s="41" t="s">
        <v>345</v>
      </c>
      <c r="H25" s="166">
        <f>I25+L25</f>
        <v>0</v>
      </c>
      <c r="I25" s="166"/>
      <c r="J25" s="167" t="e">
        <f t="shared" si="1"/>
        <v>#DIV/0!</v>
      </c>
      <c r="K25" s="166"/>
      <c r="L25" s="166"/>
      <c r="M25" s="173"/>
      <c r="N25" s="173"/>
      <c r="O25" s="167"/>
      <c r="P25" s="166">
        <f t="shared" si="2"/>
        <v>0</v>
      </c>
      <c r="Q25" s="166">
        <f t="shared" si="3"/>
        <v>0</v>
      </c>
      <c r="R25" s="167">
        <f t="shared" si="4"/>
        <v>0</v>
      </c>
      <c r="S25" s="167" t="e">
        <f t="shared" si="5"/>
        <v>#DIV/0!</v>
      </c>
      <c r="T25" s="129"/>
    </row>
    <row r="26" spans="3:20" s="7" customFormat="1" ht="22.5" customHeight="1" hidden="1">
      <c r="C26" s="32" t="s">
        <v>456</v>
      </c>
      <c r="D26" s="32" t="s">
        <v>457</v>
      </c>
      <c r="E26" s="32" t="s">
        <v>437</v>
      </c>
      <c r="F26" s="115" t="s">
        <v>10</v>
      </c>
      <c r="G26" s="33" t="s">
        <v>270</v>
      </c>
      <c r="H26" s="166">
        <f>I26+L26</f>
        <v>0</v>
      </c>
      <c r="I26" s="166"/>
      <c r="J26" s="167" t="e">
        <f t="shared" si="1"/>
        <v>#DIV/0!</v>
      </c>
      <c r="K26" s="166"/>
      <c r="L26" s="166"/>
      <c r="M26" s="166"/>
      <c r="N26" s="166"/>
      <c r="O26" s="167"/>
      <c r="P26" s="166">
        <f t="shared" si="2"/>
        <v>0</v>
      </c>
      <c r="Q26" s="166">
        <f t="shared" si="3"/>
        <v>0</v>
      </c>
      <c r="R26" s="167">
        <f t="shared" si="4"/>
        <v>0</v>
      </c>
      <c r="S26" s="167" t="e">
        <f t="shared" si="5"/>
        <v>#DIV/0!</v>
      </c>
      <c r="T26" s="129"/>
    </row>
    <row r="27" spans="1:20" s="7" customFormat="1" ht="36.75" customHeight="1">
      <c r="A27" s="50">
        <v>9</v>
      </c>
      <c r="B27" s="7">
        <v>6</v>
      </c>
      <c r="C27" s="32" t="s">
        <v>140</v>
      </c>
      <c r="D27" s="32" t="s">
        <v>453</v>
      </c>
      <c r="E27" s="32" t="s">
        <v>475</v>
      </c>
      <c r="F27" s="115" t="s">
        <v>206</v>
      </c>
      <c r="G27" s="43" t="s">
        <v>92</v>
      </c>
      <c r="H27" s="166">
        <f>SUM(H28:H29)</f>
        <v>118.86926</v>
      </c>
      <c r="I27" s="166">
        <f>SUM(I28:I29)</f>
        <v>77.14826000000001</v>
      </c>
      <c r="J27" s="167">
        <f t="shared" si="1"/>
        <v>64.90177527815014</v>
      </c>
      <c r="K27" s="166"/>
      <c r="L27" s="166">
        <f>SUM(L28:L29)</f>
        <v>0</v>
      </c>
      <c r="M27" s="166"/>
      <c r="N27" s="166"/>
      <c r="O27" s="167"/>
      <c r="P27" s="166">
        <f t="shared" si="2"/>
        <v>118.86926</v>
      </c>
      <c r="Q27" s="166">
        <f t="shared" si="3"/>
        <v>77.14826000000001</v>
      </c>
      <c r="R27" s="167">
        <f t="shared" si="4"/>
        <v>-41.72099999999999</v>
      </c>
      <c r="S27" s="167">
        <f t="shared" si="5"/>
        <v>64.90177527815014</v>
      </c>
      <c r="T27" s="129">
        <f>SUM(T28:T29)</f>
        <v>0</v>
      </c>
    </row>
    <row r="28" spans="3:20" s="39" customFormat="1" ht="36" customHeight="1">
      <c r="C28" s="35" t="s">
        <v>215</v>
      </c>
      <c r="D28" s="35" t="s">
        <v>454</v>
      </c>
      <c r="E28" s="32"/>
      <c r="F28" s="120"/>
      <c r="G28" s="37" t="s">
        <v>430</v>
      </c>
      <c r="H28" s="170">
        <v>103.86926</v>
      </c>
      <c r="I28" s="170">
        <v>68.30826</v>
      </c>
      <c r="J28" s="167">
        <f t="shared" si="1"/>
        <v>65.76369177945429</v>
      </c>
      <c r="K28" s="170"/>
      <c r="L28" s="170"/>
      <c r="M28" s="170"/>
      <c r="N28" s="170"/>
      <c r="O28" s="172"/>
      <c r="P28" s="166">
        <f t="shared" si="2"/>
        <v>103.86926</v>
      </c>
      <c r="Q28" s="166">
        <f t="shared" si="3"/>
        <v>68.30826</v>
      </c>
      <c r="R28" s="167">
        <f t="shared" si="4"/>
        <v>-35.56099999999999</v>
      </c>
      <c r="S28" s="167">
        <f t="shared" si="5"/>
        <v>65.76369177945429</v>
      </c>
      <c r="T28" s="133"/>
    </row>
    <row r="29" spans="3:21" s="7" customFormat="1" ht="46.5" customHeight="1">
      <c r="C29" s="35" t="s">
        <v>405</v>
      </c>
      <c r="D29" s="35" t="s">
        <v>455</v>
      </c>
      <c r="E29" s="32"/>
      <c r="F29" s="115"/>
      <c r="G29" s="37" t="s">
        <v>431</v>
      </c>
      <c r="H29" s="170">
        <v>15</v>
      </c>
      <c r="I29" s="170">
        <v>8.84</v>
      </c>
      <c r="J29" s="167">
        <f t="shared" si="1"/>
        <v>58.93333333333334</v>
      </c>
      <c r="K29" s="170"/>
      <c r="L29" s="170"/>
      <c r="M29" s="170"/>
      <c r="N29" s="170"/>
      <c r="O29" s="172"/>
      <c r="P29" s="166">
        <f t="shared" si="2"/>
        <v>15</v>
      </c>
      <c r="Q29" s="166">
        <f t="shared" si="3"/>
        <v>8.84</v>
      </c>
      <c r="R29" s="167">
        <f t="shared" si="4"/>
        <v>-6.16</v>
      </c>
      <c r="S29" s="167">
        <f t="shared" si="5"/>
        <v>58.93333333333334</v>
      </c>
      <c r="T29" s="133"/>
      <c r="U29" s="22"/>
    </row>
    <row r="30" spans="3:23" s="7" customFormat="1" ht="31.5" customHeight="1">
      <c r="C30" s="32"/>
      <c r="D30" s="32"/>
      <c r="E30" s="32"/>
      <c r="F30" s="115"/>
      <c r="G30" s="48" t="s">
        <v>142</v>
      </c>
      <c r="H30" s="174">
        <f aca="true" t="shared" si="6" ref="H30:N30">H14+H18+H17+H23+H27+H26+H25+H21</f>
        <v>10787.669259999999</v>
      </c>
      <c r="I30" s="174">
        <f>I14+I18+I17+I23+I27+I26+I25+I21</f>
        <v>5422.947999999999</v>
      </c>
      <c r="J30" s="175">
        <f t="shared" si="1"/>
        <v>50.26987636808583</v>
      </c>
      <c r="K30" s="174">
        <f t="shared" si="6"/>
        <v>896.5</v>
      </c>
      <c r="L30" s="174">
        <f t="shared" si="6"/>
        <v>0</v>
      </c>
      <c r="M30" s="174">
        <f t="shared" si="6"/>
        <v>12.2688</v>
      </c>
      <c r="N30" s="174">
        <f t="shared" si="6"/>
        <v>12.2688</v>
      </c>
      <c r="O30" s="175">
        <f>M30/K30*100</f>
        <v>1.3685220301171221</v>
      </c>
      <c r="P30" s="174">
        <f>H30+K30</f>
        <v>11684.169259999999</v>
      </c>
      <c r="Q30" s="174">
        <f>I30+M30</f>
        <v>5435.216799999999</v>
      </c>
      <c r="R30" s="175">
        <f>R14+R17+R18+R27</f>
        <v>-6248.9524599999995</v>
      </c>
      <c r="S30" s="175">
        <f>Q30/P30*100</f>
        <v>46.51778555286009</v>
      </c>
      <c r="T30" s="63">
        <f>T14+T18+T17+T23+T27+T26+T25+T21</f>
        <v>886</v>
      </c>
      <c r="U30" s="22"/>
      <c r="V30" s="22"/>
      <c r="W30" s="22"/>
    </row>
    <row r="31" spans="3:21" s="7" customFormat="1" ht="45.75" customHeight="1">
      <c r="C31" s="30" t="s">
        <v>144</v>
      </c>
      <c r="D31" s="30"/>
      <c r="E31" s="30"/>
      <c r="F31" s="121" t="s">
        <v>49</v>
      </c>
      <c r="G31" s="85" t="s">
        <v>414</v>
      </c>
      <c r="H31" s="166"/>
      <c r="I31" s="166"/>
      <c r="J31" s="167"/>
      <c r="K31" s="166"/>
      <c r="L31" s="166"/>
      <c r="M31" s="166"/>
      <c r="N31" s="166"/>
      <c r="O31" s="167"/>
      <c r="P31" s="166"/>
      <c r="Q31" s="166"/>
      <c r="R31" s="167"/>
      <c r="S31" s="167"/>
      <c r="T31" s="129"/>
      <c r="U31" s="22"/>
    </row>
    <row r="32" spans="3:20" s="7" customFormat="1" ht="45.75" customHeight="1">
      <c r="C32" s="151" t="s">
        <v>145</v>
      </c>
      <c r="D32" s="30"/>
      <c r="E32" s="30"/>
      <c r="F32" s="121" t="s">
        <v>49</v>
      </c>
      <c r="G32" s="31" t="s">
        <v>413</v>
      </c>
      <c r="H32" s="166"/>
      <c r="I32" s="166"/>
      <c r="J32" s="167"/>
      <c r="K32" s="166"/>
      <c r="L32" s="166"/>
      <c r="M32" s="166"/>
      <c r="N32" s="166"/>
      <c r="O32" s="167"/>
      <c r="P32" s="166"/>
      <c r="Q32" s="166"/>
      <c r="R32" s="167"/>
      <c r="S32" s="167"/>
      <c r="T32" s="129"/>
    </row>
    <row r="33" spans="1:20" s="7" customFormat="1" ht="81.75" customHeight="1">
      <c r="A33" s="7">
        <v>2</v>
      </c>
      <c r="B33" s="7">
        <v>7</v>
      </c>
      <c r="C33" s="32" t="s">
        <v>304</v>
      </c>
      <c r="D33" s="32" t="s">
        <v>437</v>
      </c>
      <c r="E33" s="32" t="s">
        <v>438</v>
      </c>
      <c r="F33" s="115" t="s">
        <v>205</v>
      </c>
      <c r="G33" s="43" t="s">
        <v>619</v>
      </c>
      <c r="H33" s="168">
        <v>1396.6</v>
      </c>
      <c r="I33" s="168">
        <v>910.96287</v>
      </c>
      <c r="J33" s="176">
        <f>I33/H33*100</f>
        <v>65.22718530717457</v>
      </c>
      <c r="K33" s="168"/>
      <c r="L33" s="168"/>
      <c r="M33" s="173"/>
      <c r="N33" s="173"/>
      <c r="O33" s="176"/>
      <c r="P33" s="168">
        <f>H33+K33</f>
        <v>1396.6</v>
      </c>
      <c r="Q33" s="168">
        <f>I33+M33</f>
        <v>910.96287</v>
      </c>
      <c r="R33" s="167">
        <f>Q33-P33</f>
        <v>-485.63712999999996</v>
      </c>
      <c r="S33" s="176">
        <f>Q33/P33*100</f>
        <v>65.22718530717457</v>
      </c>
      <c r="T33" s="130"/>
    </row>
    <row r="34" spans="3:20" s="7" customFormat="1" ht="33.75" customHeight="1">
      <c r="C34" s="32" t="s">
        <v>53</v>
      </c>
      <c r="D34" s="32" t="s">
        <v>458</v>
      </c>
      <c r="E34" s="32" t="s">
        <v>459</v>
      </c>
      <c r="F34" s="115" t="s">
        <v>237</v>
      </c>
      <c r="G34" s="33" t="s">
        <v>190</v>
      </c>
      <c r="H34" s="168">
        <f>SUM(H35:H36)</f>
        <v>41192.608</v>
      </c>
      <c r="I34" s="168">
        <f>SUM(I35:I36)</f>
        <v>20394.77363</v>
      </c>
      <c r="J34" s="176">
        <f aca="true" t="shared" si="7" ref="J34:J64">I34/H34*100</f>
        <v>49.51076083844946</v>
      </c>
      <c r="K34" s="168">
        <f>K35</f>
        <v>3792.02129</v>
      </c>
      <c r="L34" s="168">
        <f>L35</f>
        <v>0</v>
      </c>
      <c r="M34" s="168">
        <f>M35</f>
        <v>2021.74801</v>
      </c>
      <c r="N34" s="170">
        <v>0</v>
      </c>
      <c r="O34" s="176">
        <f>M34/K34*100</f>
        <v>53.315840165021854</v>
      </c>
      <c r="P34" s="168">
        <f aca="true" t="shared" si="8" ref="P34:P56">H34+K34</f>
        <v>44984.62929</v>
      </c>
      <c r="Q34" s="168">
        <f aca="true" t="shared" si="9" ref="Q34:Q56">I34+M34</f>
        <v>22416.52164</v>
      </c>
      <c r="R34" s="167">
        <f aca="true" t="shared" si="10" ref="R34:R56">Q34-P34</f>
        <v>-22568.107649999998</v>
      </c>
      <c r="S34" s="176">
        <f aca="true" t="shared" si="11" ref="S34:S56">Q34/P34*100</f>
        <v>49.83151354985858</v>
      </c>
      <c r="T34" s="148">
        <f>SUM(T35:T36)</f>
        <v>0</v>
      </c>
    </row>
    <row r="35" spans="1:20" s="39" customFormat="1" ht="26.25" customHeight="1">
      <c r="A35" s="39">
        <v>1</v>
      </c>
      <c r="B35" s="39">
        <v>8</v>
      </c>
      <c r="C35" s="35"/>
      <c r="D35" s="35"/>
      <c r="E35" s="35"/>
      <c r="F35" s="119"/>
      <c r="G35" s="45" t="s">
        <v>407</v>
      </c>
      <c r="H35" s="177">
        <v>41192.608</v>
      </c>
      <c r="I35" s="178">
        <v>20394.77363</v>
      </c>
      <c r="J35" s="176">
        <f t="shared" si="7"/>
        <v>49.51076083844946</v>
      </c>
      <c r="K35" s="168">
        <v>3792.02129</v>
      </c>
      <c r="L35" s="170"/>
      <c r="M35" s="170">
        <v>2021.74801</v>
      </c>
      <c r="N35" s="170">
        <v>0</v>
      </c>
      <c r="O35" s="176">
        <f aca="true" t="shared" si="12" ref="O35:O46">M35/K35*100</f>
        <v>53.315840165021854</v>
      </c>
      <c r="P35" s="168">
        <f t="shared" si="8"/>
        <v>44984.62929</v>
      </c>
      <c r="Q35" s="168">
        <f t="shared" si="9"/>
        <v>22416.52164</v>
      </c>
      <c r="R35" s="167">
        <f t="shared" si="10"/>
        <v>-22568.107649999998</v>
      </c>
      <c r="S35" s="176">
        <f t="shared" si="11"/>
        <v>49.83151354985858</v>
      </c>
      <c r="T35" s="137"/>
    </row>
    <row r="36" spans="3:20" s="39" customFormat="1" ht="79.5" customHeight="1" hidden="1">
      <c r="C36" s="35"/>
      <c r="D36" s="35"/>
      <c r="E36" s="35"/>
      <c r="F36" s="119"/>
      <c r="G36" s="45" t="s">
        <v>408</v>
      </c>
      <c r="H36" s="177">
        <f>I36+L36</f>
        <v>0</v>
      </c>
      <c r="I36" s="178"/>
      <c r="J36" s="176" t="e">
        <f t="shared" si="7"/>
        <v>#DIV/0!</v>
      </c>
      <c r="K36" s="170"/>
      <c r="L36" s="170"/>
      <c r="M36" s="170"/>
      <c r="N36" s="170"/>
      <c r="O36" s="176" t="e">
        <f t="shared" si="12"/>
        <v>#DIV/0!</v>
      </c>
      <c r="P36" s="168">
        <f t="shared" si="8"/>
        <v>0</v>
      </c>
      <c r="Q36" s="168">
        <f t="shared" si="9"/>
        <v>0</v>
      </c>
      <c r="R36" s="167">
        <f t="shared" si="10"/>
        <v>0</v>
      </c>
      <c r="S36" s="176" t="e">
        <f t="shared" si="11"/>
        <v>#DIV/0!</v>
      </c>
      <c r="T36" s="137"/>
    </row>
    <row r="37" spans="1:20" s="18" customFormat="1" ht="99.75" customHeight="1">
      <c r="A37" s="18">
        <v>2</v>
      </c>
      <c r="B37" s="18">
        <v>9</v>
      </c>
      <c r="C37" s="32" t="s">
        <v>54</v>
      </c>
      <c r="D37" s="32" t="s">
        <v>461</v>
      </c>
      <c r="E37" s="32" t="s">
        <v>462</v>
      </c>
      <c r="F37" s="115" t="s">
        <v>238</v>
      </c>
      <c r="G37" s="43" t="s">
        <v>460</v>
      </c>
      <c r="H37" s="166">
        <f>H38+H41+H44+H43</f>
        <v>61373.062990000006</v>
      </c>
      <c r="I37" s="166">
        <f>I38+I41+I44+I43</f>
        <v>36667.12728</v>
      </c>
      <c r="J37" s="176">
        <f t="shared" si="7"/>
        <v>59.744659128345056</v>
      </c>
      <c r="K37" s="166">
        <f>K38+K41+K44</f>
        <v>2324.66922</v>
      </c>
      <c r="L37" s="166">
        <f>L38+L41+L44</f>
        <v>0</v>
      </c>
      <c r="M37" s="166">
        <f>M38+M41+M44</f>
        <v>1379.87116</v>
      </c>
      <c r="N37" s="166">
        <f>N38+N41+N44</f>
        <v>72.542</v>
      </c>
      <c r="O37" s="176">
        <f t="shared" si="12"/>
        <v>59.35774208771086</v>
      </c>
      <c r="P37" s="168">
        <f t="shared" si="8"/>
        <v>63697.73221000001</v>
      </c>
      <c r="Q37" s="168">
        <f t="shared" si="9"/>
        <v>38046.99844</v>
      </c>
      <c r="R37" s="167">
        <f t="shared" si="10"/>
        <v>-25650.733770000006</v>
      </c>
      <c r="S37" s="176">
        <f t="shared" si="11"/>
        <v>59.730538466527925</v>
      </c>
      <c r="T37" s="129">
        <f>SUM(T38:T44)</f>
        <v>170.95999999999998</v>
      </c>
    </row>
    <row r="38" spans="3:20" s="19" customFormat="1" ht="33" customHeight="1">
      <c r="C38" s="35"/>
      <c r="D38" s="35"/>
      <c r="E38" s="35"/>
      <c r="F38" s="119"/>
      <c r="G38" s="37" t="s">
        <v>299</v>
      </c>
      <c r="H38" s="170">
        <v>38849.8</v>
      </c>
      <c r="I38" s="170">
        <f>23928.91399-0.31399</f>
        <v>23928.600000000002</v>
      </c>
      <c r="J38" s="176">
        <f t="shared" si="7"/>
        <v>61.5925950712745</v>
      </c>
      <c r="K38" s="170"/>
      <c r="L38" s="170"/>
      <c r="M38" s="166"/>
      <c r="N38" s="166"/>
      <c r="O38" s="176"/>
      <c r="P38" s="168">
        <f t="shared" si="8"/>
        <v>38849.8</v>
      </c>
      <c r="Q38" s="168">
        <f t="shared" si="9"/>
        <v>23928.600000000002</v>
      </c>
      <c r="R38" s="167">
        <f t="shared" si="10"/>
        <v>-14921.2</v>
      </c>
      <c r="S38" s="176">
        <f t="shared" si="11"/>
        <v>61.5925950712745</v>
      </c>
      <c r="T38" s="133"/>
    </row>
    <row r="39" spans="3:20" s="19" customFormat="1" ht="75" customHeight="1" hidden="1">
      <c r="C39" s="35"/>
      <c r="D39" s="35"/>
      <c r="E39" s="35"/>
      <c r="F39" s="119"/>
      <c r="G39" s="37" t="s">
        <v>374</v>
      </c>
      <c r="H39" s="170">
        <f>I39+L39</f>
        <v>0</v>
      </c>
      <c r="I39" s="170"/>
      <c r="J39" s="176" t="e">
        <f t="shared" si="7"/>
        <v>#DIV/0!</v>
      </c>
      <c r="K39" s="170"/>
      <c r="L39" s="170"/>
      <c r="M39" s="166"/>
      <c r="N39" s="166"/>
      <c r="O39" s="176" t="e">
        <f t="shared" si="12"/>
        <v>#DIV/0!</v>
      </c>
      <c r="P39" s="168">
        <f t="shared" si="8"/>
        <v>0</v>
      </c>
      <c r="Q39" s="168">
        <f t="shared" si="9"/>
        <v>0</v>
      </c>
      <c r="R39" s="167">
        <f t="shared" si="10"/>
        <v>0</v>
      </c>
      <c r="S39" s="176" t="e">
        <f t="shared" si="11"/>
        <v>#DIV/0!</v>
      </c>
      <c r="T39" s="137"/>
    </row>
    <row r="40" spans="3:20" s="19" customFormat="1" ht="62.25" customHeight="1" hidden="1">
      <c r="C40" s="35"/>
      <c r="D40" s="35"/>
      <c r="E40" s="35"/>
      <c r="F40" s="119"/>
      <c r="G40" s="37" t="s">
        <v>343</v>
      </c>
      <c r="H40" s="170">
        <f>I40+L40</f>
        <v>0</v>
      </c>
      <c r="I40" s="170"/>
      <c r="J40" s="176" t="e">
        <f t="shared" si="7"/>
        <v>#DIV/0!</v>
      </c>
      <c r="K40" s="170"/>
      <c r="L40" s="170"/>
      <c r="M40" s="166"/>
      <c r="N40" s="166"/>
      <c r="O40" s="176" t="e">
        <f t="shared" si="12"/>
        <v>#DIV/0!</v>
      </c>
      <c r="P40" s="168">
        <f t="shared" si="8"/>
        <v>0</v>
      </c>
      <c r="Q40" s="168">
        <f t="shared" si="9"/>
        <v>0</v>
      </c>
      <c r="R40" s="167">
        <f t="shared" si="10"/>
        <v>0</v>
      </c>
      <c r="S40" s="176" t="e">
        <f t="shared" si="11"/>
        <v>#DIV/0!</v>
      </c>
      <c r="T40" s="137"/>
    </row>
    <row r="41" spans="3:20" s="19" customFormat="1" ht="72" customHeight="1">
      <c r="C41" s="35"/>
      <c r="D41" s="35"/>
      <c r="E41" s="35"/>
      <c r="F41" s="119"/>
      <c r="G41" s="37" t="s">
        <v>377</v>
      </c>
      <c r="H41" s="170">
        <v>0.31399</v>
      </c>
      <c r="I41" s="170">
        <v>0.31399</v>
      </c>
      <c r="J41" s="176">
        <f t="shared" si="7"/>
        <v>100</v>
      </c>
      <c r="K41" s="170"/>
      <c r="L41" s="170"/>
      <c r="M41" s="166"/>
      <c r="N41" s="166"/>
      <c r="O41" s="176"/>
      <c r="P41" s="168">
        <f t="shared" si="8"/>
        <v>0.31399</v>
      </c>
      <c r="Q41" s="168">
        <f t="shared" si="9"/>
        <v>0.31399</v>
      </c>
      <c r="R41" s="167">
        <f t="shared" si="10"/>
        <v>0</v>
      </c>
      <c r="S41" s="176">
        <f t="shared" si="11"/>
        <v>100</v>
      </c>
      <c r="T41" s="137"/>
    </row>
    <row r="42" spans="3:20" s="19" customFormat="1" ht="49.5" customHeight="1" hidden="1">
      <c r="C42" s="35"/>
      <c r="D42" s="35"/>
      <c r="E42" s="35"/>
      <c r="F42" s="119"/>
      <c r="G42" s="37" t="s">
        <v>406</v>
      </c>
      <c r="H42" s="170">
        <f>I42+L42</f>
        <v>0</v>
      </c>
      <c r="I42" s="170"/>
      <c r="J42" s="176" t="e">
        <f t="shared" si="7"/>
        <v>#DIV/0!</v>
      </c>
      <c r="K42" s="170"/>
      <c r="L42" s="170"/>
      <c r="M42" s="166"/>
      <c r="N42" s="166"/>
      <c r="O42" s="176" t="e">
        <f t="shared" si="12"/>
        <v>#DIV/0!</v>
      </c>
      <c r="P42" s="168">
        <f t="shared" si="8"/>
        <v>0</v>
      </c>
      <c r="Q42" s="168">
        <f t="shared" si="9"/>
        <v>0</v>
      </c>
      <c r="R42" s="167">
        <f t="shared" si="10"/>
        <v>0</v>
      </c>
      <c r="S42" s="176" t="e">
        <f t="shared" si="11"/>
        <v>#DIV/0!</v>
      </c>
      <c r="T42" s="137"/>
    </row>
    <row r="43" spans="3:20" s="19" customFormat="1" ht="56.25">
      <c r="C43" s="35"/>
      <c r="D43" s="35"/>
      <c r="E43" s="35"/>
      <c r="F43" s="119"/>
      <c r="G43" s="37" t="s">
        <v>727</v>
      </c>
      <c r="H43" s="219">
        <v>74.47</v>
      </c>
      <c r="I43" s="219">
        <v>0</v>
      </c>
      <c r="J43" s="189">
        <f t="shared" si="7"/>
        <v>0</v>
      </c>
      <c r="K43" s="38"/>
      <c r="L43" s="217"/>
      <c r="M43" s="14"/>
      <c r="N43" s="56"/>
      <c r="O43" s="218"/>
      <c r="P43" s="168">
        <f t="shared" si="8"/>
        <v>74.47</v>
      </c>
      <c r="Q43" s="168">
        <f t="shared" si="9"/>
        <v>0</v>
      </c>
      <c r="R43" s="167">
        <f t="shared" si="10"/>
        <v>-74.47</v>
      </c>
      <c r="S43" s="176">
        <f t="shared" si="11"/>
        <v>0</v>
      </c>
      <c r="T43" s="38">
        <f>H43+M43</f>
        <v>74.47</v>
      </c>
    </row>
    <row r="44" spans="3:20" s="19" customFormat="1" ht="27.75" customHeight="1">
      <c r="C44" s="35"/>
      <c r="D44" s="35"/>
      <c r="E44" s="35"/>
      <c r="F44" s="119"/>
      <c r="G44" s="37" t="s">
        <v>339</v>
      </c>
      <c r="H44" s="170">
        <v>22448.479</v>
      </c>
      <c r="I44" s="170">
        <v>12738.21329</v>
      </c>
      <c r="J44" s="176">
        <f t="shared" si="7"/>
        <v>56.74421545441898</v>
      </c>
      <c r="K44" s="170">
        <v>2324.66922</v>
      </c>
      <c r="L44" s="170"/>
      <c r="M44" s="166">
        <v>1379.87116</v>
      </c>
      <c r="N44" s="166">
        <v>72.542</v>
      </c>
      <c r="O44" s="176">
        <f t="shared" si="12"/>
        <v>59.35774208771086</v>
      </c>
      <c r="P44" s="168">
        <f t="shared" si="8"/>
        <v>24773.14822</v>
      </c>
      <c r="Q44" s="168">
        <f t="shared" si="9"/>
        <v>14118.08445</v>
      </c>
      <c r="R44" s="167">
        <f t="shared" si="10"/>
        <v>-10655.063769999999</v>
      </c>
      <c r="S44" s="176">
        <f t="shared" si="11"/>
        <v>56.98946425631163</v>
      </c>
      <c r="T44" s="98">
        <f>120-23.51</f>
        <v>96.49</v>
      </c>
    </row>
    <row r="45" spans="3:20" s="19" customFormat="1" ht="34.5" customHeight="1" hidden="1">
      <c r="C45" s="35"/>
      <c r="D45" s="35"/>
      <c r="E45" s="35"/>
      <c r="F45" s="119"/>
      <c r="G45" s="37" t="s">
        <v>300</v>
      </c>
      <c r="H45" s="170"/>
      <c r="I45" s="170"/>
      <c r="J45" s="176" t="e">
        <f t="shared" si="7"/>
        <v>#DIV/0!</v>
      </c>
      <c r="K45" s="170"/>
      <c r="L45" s="170"/>
      <c r="M45" s="166"/>
      <c r="N45" s="166"/>
      <c r="O45" s="176" t="e">
        <f t="shared" si="12"/>
        <v>#DIV/0!</v>
      </c>
      <c r="P45" s="168">
        <f t="shared" si="8"/>
        <v>0</v>
      </c>
      <c r="Q45" s="168">
        <f t="shared" si="9"/>
        <v>0</v>
      </c>
      <c r="R45" s="167">
        <f t="shared" si="10"/>
        <v>0</v>
      </c>
      <c r="S45" s="176" t="e">
        <f t="shared" si="11"/>
        <v>#DIV/0!</v>
      </c>
      <c r="T45" s="137"/>
    </row>
    <row r="46" spans="1:20" s="7" customFormat="1" ht="49.5" customHeight="1">
      <c r="A46" s="7">
        <v>3</v>
      </c>
      <c r="B46" s="7">
        <v>10</v>
      </c>
      <c r="C46" s="5" t="s">
        <v>271</v>
      </c>
      <c r="D46" s="5" t="s">
        <v>463</v>
      </c>
      <c r="E46" s="5" t="s">
        <v>464</v>
      </c>
      <c r="F46" s="115" t="s">
        <v>239</v>
      </c>
      <c r="G46" s="43" t="s">
        <v>55</v>
      </c>
      <c r="H46" s="166">
        <v>6165.615</v>
      </c>
      <c r="I46" s="179">
        <v>3253.55771</v>
      </c>
      <c r="J46" s="176">
        <f t="shared" si="7"/>
        <v>52.769394618379515</v>
      </c>
      <c r="K46" s="166">
        <v>23.53045</v>
      </c>
      <c r="L46" s="166"/>
      <c r="M46" s="166">
        <v>12.39545</v>
      </c>
      <c r="N46" s="166">
        <v>0</v>
      </c>
      <c r="O46" s="176">
        <f t="shared" si="12"/>
        <v>52.67833806833274</v>
      </c>
      <c r="P46" s="168">
        <f t="shared" si="8"/>
        <v>6189.14545</v>
      </c>
      <c r="Q46" s="168">
        <f t="shared" si="9"/>
        <v>3265.95316</v>
      </c>
      <c r="R46" s="167">
        <f t="shared" si="10"/>
        <v>-2923.19229</v>
      </c>
      <c r="S46" s="176">
        <f t="shared" si="11"/>
        <v>52.769048431395326</v>
      </c>
      <c r="T46" s="130"/>
    </row>
    <row r="47" spans="3:21" s="7" customFormat="1" ht="45" customHeight="1" hidden="1">
      <c r="C47" s="5" t="s">
        <v>329</v>
      </c>
      <c r="D47" s="5"/>
      <c r="E47" s="5"/>
      <c r="F47" s="115" t="s">
        <v>326</v>
      </c>
      <c r="G47" s="43" t="s">
        <v>330</v>
      </c>
      <c r="H47" s="166">
        <f>I47+L47</f>
        <v>0</v>
      </c>
      <c r="I47" s="179"/>
      <c r="J47" s="176" t="e">
        <f t="shared" si="7"/>
        <v>#DIV/0!</v>
      </c>
      <c r="K47" s="166"/>
      <c r="L47" s="166"/>
      <c r="M47" s="166"/>
      <c r="N47" s="166"/>
      <c r="O47" s="176"/>
      <c r="P47" s="168">
        <f t="shared" si="8"/>
        <v>0</v>
      </c>
      <c r="Q47" s="168">
        <f t="shared" si="9"/>
        <v>0</v>
      </c>
      <c r="R47" s="167">
        <f t="shared" si="10"/>
        <v>0</v>
      </c>
      <c r="S47" s="176" t="e">
        <f t="shared" si="11"/>
        <v>#DIV/0!</v>
      </c>
      <c r="T47" s="130"/>
      <c r="U47" s="22"/>
    </row>
    <row r="48" spans="1:20" s="7" customFormat="1" ht="46.5" customHeight="1">
      <c r="A48" s="7">
        <v>4</v>
      </c>
      <c r="B48" s="7">
        <v>11</v>
      </c>
      <c r="C48" s="32">
        <v>1011170</v>
      </c>
      <c r="D48" s="32" t="s">
        <v>465</v>
      </c>
      <c r="E48" s="32" t="s">
        <v>466</v>
      </c>
      <c r="F48" s="115" t="s">
        <v>240</v>
      </c>
      <c r="G48" s="43" t="s">
        <v>56</v>
      </c>
      <c r="H48" s="166">
        <v>1394.095</v>
      </c>
      <c r="I48" s="166">
        <v>731.17252</v>
      </c>
      <c r="J48" s="176">
        <f t="shared" si="7"/>
        <v>52.44782600898791</v>
      </c>
      <c r="K48" s="166"/>
      <c r="L48" s="166"/>
      <c r="M48" s="166"/>
      <c r="N48" s="166"/>
      <c r="O48" s="176"/>
      <c r="P48" s="168">
        <f t="shared" si="8"/>
        <v>1394.095</v>
      </c>
      <c r="Q48" s="168">
        <f t="shared" si="9"/>
        <v>731.17252</v>
      </c>
      <c r="R48" s="167">
        <f t="shared" si="10"/>
        <v>-662.9224800000001</v>
      </c>
      <c r="S48" s="176">
        <f t="shared" si="11"/>
        <v>52.44782600898791</v>
      </c>
      <c r="T48" s="130"/>
    </row>
    <row r="49" spans="1:20" s="7" customFormat="1" ht="32.25" customHeight="1">
      <c r="A49" s="7">
        <v>5</v>
      </c>
      <c r="B49" s="7">
        <v>12</v>
      </c>
      <c r="C49" s="32">
        <v>1011190</v>
      </c>
      <c r="D49" s="32" t="s">
        <v>467</v>
      </c>
      <c r="E49" s="32" t="s">
        <v>466</v>
      </c>
      <c r="F49" s="115" t="s">
        <v>241</v>
      </c>
      <c r="G49" s="43" t="s">
        <v>57</v>
      </c>
      <c r="H49" s="179">
        <v>2038.396</v>
      </c>
      <c r="I49" s="179">
        <v>1033.14507</v>
      </c>
      <c r="J49" s="176">
        <f t="shared" si="7"/>
        <v>50.68421788504295</v>
      </c>
      <c r="K49" s="166"/>
      <c r="L49" s="166"/>
      <c r="M49" s="166"/>
      <c r="N49" s="166"/>
      <c r="O49" s="176"/>
      <c r="P49" s="168">
        <f t="shared" si="8"/>
        <v>2038.396</v>
      </c>
      <c r="Q49" s="168">
        <f t="shared" si="9"/>
        <v>1033.14507</v>
      </c>
      <c r="R49" s="167">
        <f t="shared" si="10"/>
        <v>-1005.2509299999999</v>
      </c>
      <c r="S49" s="176">
        <f t="shared" si="11"/>
        <v>50.68421788504295</v>
      </c>
      <c r="T49" s="130"/>
    </row>
    <row r="50" spans="1:20" s="7" customFormat="1" ht="42.75" customHeight="1">
      <c r="A50" s="7">
        <v>6</v>
      </c>
      <c r="B50" s="7">
        <v>13</v>
      </c>
      <c r="C50" s="32">
        <v>1011200</v>
      </c>
      <c r="D50" s="32" t="s">
        <v>468</v>
      </c>
      <c r="E50" s="32" t="s">
        <v>466</v>
      </c>
      <c r="F50" s="115" t="s">
        <v>242</v>
      </c>
      <c r="G50" s="43" t="s">
        <v>188</v>
      </c>
      <c r="H50" s="179">
        <f>1750.087+30</f>
        <v>1780.087</v>
      </c>
      <c r="I50" s="179">
        <v>829.51773</v>
      </c>
      <c r="J50" s="176">
        <f t="shared" si="7"/>
        <v>46.5998420301929</v>
      </c>
      <c r="K50" s="166">
        <f>3.6</f>
        <v>3.6</v>
      </c>
      <c r="L50" s="166"/>
      <c r="M50" s="166">
        <v>3.6</v>
      </c>
      <c r="N50" s="166">
        <v>0</v>
      </c>
      <c r="O50" s="176">
        <f>M50/K50*100</f>
        <v>100</v>
      </c>
      <c r="P50" s="168">
        <f t="shared" si="8"/>
        <v>1783.687</v>
      </c>
      <c r="Q50" s="168">
        <f t="shared" si="9"/>
        <v>833.11773</v>
      </c>
      <c r="R50" s="167">
        <f t="shared" si="10"/>
        <v>-950.5692699999998</v>
      </c>
      <c r="S50" s="176">
        <f t="shared" si="11"/>
        <v>46.70761910581846</v>
      </c>
      <c r="T50" s="132"/>
    </row>
    <row r="51" spans="1:20" s="7" customFormat="1" ht="32.25" customHeight="1">
      <c r="A51" s="7">
        <v>7</v>
      </c>
      <c r="B51" s="7">
        <v>14</v>
      </c>
      <c r="C51" s="32">
        <v>1011210</v>
      </c>
      <c r="D51" s="32" t="s">
        <v>469</v>
      </c>
      <c r="E51" s="32" t="s">
        <v>466</v>
      </c>
      <c r="F51" s="115" t="s">
        <v>243</v>
      </c>
      <c r="G51" s="43" t="s">
        <v>58</v>
      </c>
      <c r="H51" s="179">
        <v>1898.266</v>
      </c>
      <c r="I51" s="179">
        <v>1015.83182</v>
      </c>
      <c r="J51" s="176">
        <f t="shared" si="7"/>
        <v>53.51367089754544</v>
      </c>
      <c r="K51" s="166">
        <v>3.604</v>
      </c>
      <c r="L51" s="166"/>
      <c r="M51" s="166">
        <v>3.58454</v>
      </c>
      <c r="N51" s="166">
        <v>0</v>
      </c>
      <c r="O51" s="176">
        <f>M51/K51*100</f>
        <v>99.46004439511653</v>
      </c>
      <c r="P51" s="168">
        <f t="shared" si="8"/>
        <v>1901.8700000000001</v>
      </c>
      <c r="Q51" s="168">
        <f t="shared" si="9"/>
        <v>1019.4163599999999</v>
      </c>
      <c r="R51" s="167">
        <f t="shared" si="10"/>
        <v>-882.4536400000002</v>
      </c>
      <c r="S51" s="176">
        <f t="shared" si="11"/>
        <v>53.600738220803734</v>
      </c>
      <c r="T51" s="130"/>
    </row>
    <row r="52" spans="1:20" s="7" customFormat="1" ht="45" customHeight="1">
      <c r="A52" s="7">
        <v>8</v>
      </c>
      <c r="B52" s="7">
        <v>15</v>
      </c>
      <c r="C52" s="5" t="s">
        <v>272</v>
      </c>
      <c r="D52" s="5" t="s">
        <v>470</v>
      </c>
      <c r="E52" s="5" t="s">
        <v>466</v>
      </c>
      <c r="F52" s="115" t="s">
        <v>263</v>
      </c>
      <c r="G52" s="43" t="s">
        <v>305</v>
      </c>
      <c r="H52" s="166">
        <f>H53</f>
        <v>172</v>
      </c>
      <c r="I52" s="166">
        <f>I53</f>
        <v>62.876</v>
      </c>
      <c r="J52" s="176">
        <f t="shared" si="7"/>
        <v>36.55581395348837</v>
      </c>
      <c r="K52" s="166"/>
      <c r="L52" s="166">
        <f>L53</f>
        <v>0</v>
      </c>
      <c r="M52" s="166"/>
      <c r="N52" s="166"/>
      <c r="O52" s="176"/>
      <c r="P52" s="168">
        <f t="shared" si="8"/>
        <v>172</v>
      </c>
      <c r="Q52" s="168">
        <f t="shared" si="9"/>
        <v>62.876</v>
      </c>
      <c r="R52" s="167">
        <f t="shared" si="10"/>
        <v>-109.124</v>
      </c>
      <c r="S52" s="176">
        <f t="shared" si="11"/>
        <v>36.55581395348837</v>
      </c>
      <c r="T52" s="129"/>
    </row>
    <row r="53" spans="2:20" s="39" customFormat="1" ht="45" customHeight="1">
      <c r="B53" s="39">
        <v>17</v>
      </c>
      <c r="C53" s="35" t="s">
        <v>306</v>
      </c>
      <c r="D53" s="35" t="s">
        <v>471</v>
      </c>
      <c r="E53" s="35" t="s">
        <v>466</v>
      </c>
      <c r="F53" s="119"/>
      <c r="G53" s="37" t="s">
        <v>324</v>
      </c>
      <c r="H53" s="166">
        <v>172</v>
      </c>
      <c r="I53" s="166">
        <v>62.876</v>
      </c>
      <c r="J53" s="176">
        <f t="shared" si="7"/>
        <v>36.55581395348837</v>
      </c>
      <c r="K53" s="170"/>
      <c r="L53" s="170"/>
      <c r="M53" s="166"/>
      <c r="N53" s="166"/>
      <c r="O53" s="176"/>
      <c r="P53" s="168">
        <f t="shared" si="8"/>
        <v>172</v>
      </c>
      <c r="Q53" s="168">
        <f t="shared" si="9"/>
        <v>62.876</v>
      </c>
      <c r="R53" s="167">
        <f t="shared" si="10"/>
        <v>-109.124</v>
      </c>
      <c r="S53" s="176">
        <f t="shared" si="11"/>
        <v>36.55581395348837</v>
      </c>
      <c r="T53" s="133"/>
    </row>
    <row r="54" spans="2:20" s="39" customFormat="1" ht="45.75" customHeight="1" hidden="1">
      <c r="B54" s="39">
        <v>18</v>
      </c>
      <c r="C54" s="35" t="s">
        <v>66</v>
      </c>
      <c r="D54" s="35"/>
      <c r="E54" s="35"/>
      <c r="F54" s="119" t="s">
        <v>263</v>
      </c>
      <c r="G54" s="37" t="s">
        <v>67</v>
      </c>
      <c r="H54" s="166"/>
      <c r="I54" s="170"/>
      <c r="J54" s="176" t="e">
        <f t="shared" si="7"/>
        <v>#DIV/0!</v>
      </c>
      <c r="K54" s="170"/>
      <c r="L54" s="170"/>
      <c r="M54" s="166"/>
      <c r="N54" s="166"/>
      <c r="O54" s="176"/>
      <c r="P54" s="168">
        <f t="shared" si="8"/>
        <v>0</v>
      </c>
      <c r="Q54" s="168">
        <f t="shared" si="9"/>
        <v>0</v>
      </c>
      <c r="R54" s="167">
        <f t="shared" si="10"/>
        <v>0</v>
      </c>
      <c r="S54" s="176" t="e">
        <f t="shared" si="11"/>
        <v>#DIV/0!</v>
      </c>
      <c r="T54" s="133"/>
    </row>
    <row r="55" spans="1:20" s="7" customFormat="1" ht="46.5" customHeight="1">
      <c r="A55" s="7">
        <v>9</v>
      </c>
      <c r="B55" s="7">
        <v>16</v>
      </c>
      <c r="C55" s="5" t="s">
        <v>273</v>
      </c>
      <c r="D55" s="5" t="s">
        <v>472</v>
      </c>
      <c r="E55" s="5" t="s">
        <v>466</v>
      </c>
      <c r="F55" s="115" t="s">
        <v>252</v>
      </c>
      <c r="G55" s="43" t="s">
        <v>59</v>
      </c>
      <c r="H55" s="166">
        <v>16.29</v>
      </c>
      <c r="I55" s="166">
        <v>5.43</v>
      </c>
      <c r="J55" s="176">
        <f t="shared" si="7"/>
        <v>33.33333333333333</v>
      </c>
      <c r="K55" s="180"/>
      <c r="L55" s="180"/>
      <c r="M55" s="166"/>
      <c r="N55" s="166"/>
      <c r="O55" s="176"/>
      <c r="P55" s="168">
        <f t="shared" si="8"/>
        <v>16.29</v>
      </c>
      <c r="Q55" s="168">
        <f t="shared" si="9"/>
        <v>5.43</v>
      </c>
      <c r="R55" s="167">
        <f t="shared" si="10"/>
        <v>-10.86</v>
      </c>
      <c r="S55" s="176">
        <f t="shared" si="11"/>
        <v>33.33333333333333</v>
      </c>
      <c r="T55" s="129"/>
    </row>
    <row r="56" spans="3:20" s="7" customFormat="1" ht="77.25" customHeight="1">
      <c r="C56" s="32" t="s">
        <v>378</v>
      </c>
      <c r="D56" s="32" t="s">
        <v>476</v>
      </c>
      <c r="E56" s="32" t="s">
        <v>477</v>
      </c>
      <c r="F56" s="115" t="s">
        <v>341</v>
      </c>
      <c r="G56" s="42" t="s">
        <v>342</v>
      </c>
      <c r="H56" s="166">
        <v>37.5</v>
      </c>
      <c r="I56" s="166">
        <v>0</v>
      </c>
      <c r="J56" s="176">
        <f t="shared" si="7"/>
        <v>0</v>
      </c>
      <c r="K56" s="180"/>
      <c r="L56" s="180"/>
      <c r="M56" s="166"/>
      <c r="N56" s="166"/>
      <c r="O56" s="176"/>
      <c r="P56" s="168">
        <f t="shared" si="8"/>
        <v>37.5</v>
      </c>
      <c r="Q56" s="168">
        <f t="shared" si="9"/>
        <v>0</v>
      </c>
      <c r="R56" s="167">
        <f t="shared" si="10"/>
        <v>-37.5</v>
      </c>
      <c r="S56" s="176">
        <f t="shared" si="11"/>
        <v>0</v>
      </c>
      <c r="T56" s="129"/>
    </row>
    <row r="57" spans="2:20" s="7" customFormat="1" ht="99.75" customHeight="1" hidden="1">
      <c r="B57" s="7">
        <v>20</v>
      </c>
      <c r="C57" s="32" t="s">
        <v>473</v>
      </c>
      <c r="D57" s="32" t="s">
        <v>474</v>
      </c>
      <c r="E57" s="32" t="s">
        <v>475</v>
      </c>
      <c r="F57" s="115" t="s">
        <v>3</v>
      </c>
      <c r="G57" s="33" t="s">
        <v>193</v>
      </c>
      <c r="H57" s="166">
        <f>I57+L57</f>
        <v>0</v>
      </c>
      <c r="I57" s="166"/>
      <c r="J57" s="176" t="e">
        <f t="shared" si="7"/>
        <v>#DIV/0!</v>
      </c>
      <c r="K57" s="166"/>
      <c r="L57" s="166"/>
      <c r="M57" s="166"/>
      <c r="N57" s="166"/>
      <c r="O57" s="176" t="e">
        <f>M57/K57*100</f>
        <v>#DIV/0!</v>
      </c>
      <c r="P57" s="166"/>
      <c r="Q57" s="166"/>
      <c r="R57" s="167"/>
      <c r="S57" s="167"/>
      <c r="T57" s="129"/>
    </row>
    <row r="58" spans="3:22" s="7" customFormat="1" ht="40.5" customHeight="1">
      <c r="C58" s="32"/>
      <c r="D58" s="32"/>
      <c r="E58" s="32"/>
      <c r="F58" s="115"/>
      <c r="G58" s="64" t="s">
        <v>143</v>
      </c>
      <c r="H58" s="174">
        <f>H33+H34+H37+H46+H48+H49+H50+H51+H52+H55+H56</f>
        <v>117464.51999</v>
      </c>
      <c r="I58" s="174">
        <f>I33+I34+I37+I46+I48+I49+I50+I51+I52+I55+I56</f>
        <v>64904.394629999995</v>
      </c>
      <c r="J58" s="176">
        <f t="shared" si="7"/>
        <v>55.25446716636261</v>
      </c>
      <c r="K58" s="174">
        <f>K33+K34+K37+K46+K48+K49+K50+K51+K52+K55+K56</f>
        <v>6147.424960000001</v>
      </c>
      <c r="L58" s="174">
        <f>L33+L34+L37+L46+L48+L49+L50+L51+L52+L55+L56</f>
        <v>0</v>
      </c>
      <c r="M58" s="174">
        <f>M33+M34+M37+M46+M48+M49+M50+M51+M52+M55+M56</f>
        <v>3421.1991599999997</v>
      </c>
      <c r="N58" s="174">
        <f>N33+N34+N37+N46+N48+N49+N50+N51+N52+N55+N56</f>
        <v>72.542</v>
      </c>
      <c r="O58" s="176">
        <f>M58/K58*100</f>
        <v>55.652556676348574</v>
      </c>
      <c r="P58" s="174">
        <f>H58+K58</f>
        <v>123611.94495</v>
      </c>
      <c r="Q58" s="174">
        <f>I58+M58</f>
        <v>68325.59379</v>
      </c>
      <c r="R58" s="175">
        <f>Q58-P58</f>
        <v>-55286.351160000006</v>
      </c>
      <c r="S58" s="175">
        <f>Q58/P58*100</f>
        <v>55.27426481125034</v>
      </c>
      <c r="T58" s="136">
        <f>SUM(T33:T57)-T37-T52-T34</f>
        <v>170.95999999999998</v>
      </c>
      <c r="U58" s="22"/>
      <c r="V58" s="22"/>
    </row>
    <row r="59" spans="3:21" s="50" customFormat="1" ht="56.25" customHeight="1">
      <c r="C59" s="30" t="s">
        <v>184</v>
      </c>
      <c r="D59" s="30"/>
      <c r="E59" s="30"/>
      <c r="F59" s="121"/>
      <c r="G59" s="86" t="s">
        <v>416</v>
      </c>
      <c r="H59" s="174"/>
      <c r="I59" s="174"/>
      <c r="J59" s="176"/>
      <c r="K59" s="174"/>
      <c r="L59" s="174"/>
      <c r="M59" s="174"/>
      <c r="N59" s="174"/>
      <c r="O59" s="175"/>
      <c r="P59" s="174"/>
      <c r="Q59" s="174"/>
      <c r="R59" s="175"/>
      <c r="S59" s="175"/>
      <c r="T59" s="136"/>
      <c r="U59" s="53"/>
    </row>
    <row r="60" spans="3:21" s="7" customFormat="1" ht="56.25" customHeight="1">
      <c r="C60" s="151" t="s">
        <v>28</v>
      </c>
      <c r="D60" s="30"/>
      <c r="E60" s="30"/>
      <c r="F60" s="121"/>
      <c r="G60" s="48" t="s">
        <v>415</v>
      </c>
      <c r="H60" s="166"/>
      <c r="I60" s="166"/>
      <c r="J60" s="176"/>
      <c r="K60" s="166"/>
      <c r="L60" s="166"/>
      <c r="M60" s="166"/>
      <c r="N60" s="166"/>
      <c r="O60" s="167"/>
      <c r="P60" s="166"/>
      <c r="Q60" s="166"/>
      <c r="R60" s="167"/>
      <c r="S60" s="167"/>
      <c r="T60" s="129"/>
      <c r="U60" s="22"/>
    </row>
    <row r="61" spans="1:21" s="7" customFormat="1" ht="47.25" customHeight="1">
      <c r="A61" s="7">
        <v>2</v>
      </c>
      <c r="B61" s="7">
        <v>17</v>
      </c>
      <c r="C61" s="32" t="s">
        <v>185</v>
      </c>
      <c r="D61" s="32" t="s">
        <v>478</v>
      </c>
      <c r="E61" s="32"/>
      <c r="F61" s="115"/>
      <c r="G61" s="43" t="s">
        <v>186</v>
      </c>
      <c r="H61" s="166">
        <f>H62+H63</f>
        <v>222.80605</v>
      </c>
      <c r="I61" s="166">
        <f>I62+I63</f>
        <v>222.80605</v>
      </c>
      <c r="J61" s="176">
        <f t="shared" si="7"/>
        <v>100</v>
      </c>
      <c r="K61" s="166"/>
      <c r="L61" s="166">
        <f>L62+L63</f>
        <v>0</v>
      </c>
      <c r="M61" s="166"/>
      <c r="N61" s="166"/>
      <c r="O61" s="167"/>
      <c r="P61" s="166">
        <f>H61+K61</f>
        <v>222.80605</v>
      </c>
      <c r="Q61" s="166">
        <f>I61+M61</f>
        <v>222.80605</v>
      </c>
      <c r="R61" s="167">
        <f>Q61-P61</f>
        <v>0</v>
      </c>
      <c r="S61" s="167">
        <f>Q61/P61*100</f>
        <v>100</v>
      </c>
      <c r="T61" s="129">
        <f>T62+T63</f>
        <v>0</v>
      </c>
      <c r="U61" s="22"/>
    </row>
    <row r="62" spans="3:21" s="39" customFormat="1" ht="33" customHeight="1">
      <c r="C62" s="35" t="s">
        <v>134</v>
      </c>
      <c r="D62" s="35" t="s">
        <v>479</v>
      </c>
      <c r="E62" s="35" t="s">
        <v>480</v>
      </c>
      <c r="F62" s="119" t="s">
        <v>50</v>
      </c>
      <c r="G62" s="45" t="s">
        <v>113</v>
      </c>
      <c r="H62" s="170">
        <v>221.31312</v>
      </c>
      <c r="I62" s="170">
        <v>221.31312</v>
      </c>
      <c r="J62" s="176">
        <f t="shared" si="7"/>
        <v>100</v>
      </c>
      <c r="K62" s="170"/>
      <c r="L62" s="170"/>
      <c r="M62" s="181"/>
      <c r="N62" s="181"/>
      <c r="O62" s="171"/>
      <c r="P62" s="166">
        <f>H62+K62</f>
        <v>221.31312</v>
      </c>
      <c r="Q62" s="166">
        <f>I62+M62</f>
        <v>221.31312</v>
      </c>
      <c r="R62" s="167">
        <f>Q62-P62</f>
        <v>0</v>
      </c>
      <c r="S62" s="167">
        <f>Q62/P62*100</f>
        <v>100</v>
      </c>
      <c r="T62" s="133"/>
      <c r="U62" s="54"/>
    </row>
    <row r="63" spans="3:20" s="39" customFormat="1" ht="81" customHeight="1">
      <c r="C63" s="35" t="s">
        <v>280</v>
      </c>
      <c r="D63" s="35" t="s">
        <v>481</v>
      </c>
      <c r="E63" s="35" t="s">
        <v>480</v>
      </c>
      <c r="F63" s="119" t="s">
        <v>29</v>
      </c>
      <c r="G63" s="45" t="s">
        <v>346</v>
      </c>
      <c r="H63" s="170">
        <v>1.49293</v>
      </c>
      <c r="I63" s="170">
        <v>1.49293</v>
      </c>
      <c r="J63" s="176">
        <f t="shared" si="7"/>
        <v>100</v>
      </c>
      <c r="K63" s="170"/>
      <c r="L63" s="170"/>
      <c r="M63" s="170"/>
      <c r="N63" s="170"/>
      <c r="O63" s="172"/>
      <c r="P63" s="166">
        <f>H63+K63</f>
        <v>1.49293</v>
      </c>
      <c r="Q63" s="166">
        <f>I63+M63</f>
        <v>1.49293</v>
      </c>
      <c r="R63" s="167">
        <f>Q63-P63</f>
        <v>0</v>
      </c>
      <c r="S63" s="167">
        <f>Q63/P63*100</f>
        <v>100</v>
      </c>
      <c r="T63" s="133"/>
    </row>
    <row r="64" spans="3:22" s="7" customFormat="1" ht="36.75" customHeight="1">
      <c r="C64" s="32"/>
      <c r="D64" s="32"/>
      <c r="E64" s="32"/>
      <c r="F64" s="115"/>
      <c r="G64" s="64" t="s">
        <v>142</v>
      </c>
      <c r="H64" s="174">
        <f>SUM(H62:H63)</f>
        <v>222.80605</v>
      </c>
      <c r="I64" s="174">
        <f aca="true" t="shared" si="13" ref="I64:T64">SUM(I62:I63)</f>
        <v>222.80605</v>
      </c>
      <c r="J64" s="176">
        <f t="shared" si="7"/>
        <v>100</v>
      </c>
      <c r="K64" s="174">
        <f t="shared" si="13"/>
        <v>0</v>
      </c>
      <c r="L64" s="174">
        <f t="shared" si="13"/>
        <v>0</v>
      </c>
      <c r="M64" s="174">
        <f t="shared" si="13"/>
        <v>0</v>
      </c>
      <c r="N64" s="174">
        <v>0</v>
      </c>
      <c r="O64" s="175">
        <f t="shared" si="13"/>
        <v>0</v>
      </c>
      <c r="P64" s="174">
        <f t="shared" si="13"/>
        <v>222.80605</v>
      </c>
      <c r="Q64" s="174">
        <f t="shared" si="13"/>
        <v>222.80605</v>
      </c>
      <c r="R64" s="175">
        <f>Q64-P64</f>
        <v>0</v>
      </c>
      <c r="S64" s="175">
        <f>Q64/P64*100</f>
        <v>100</v>
      </c>
      <c r="T64" s="136">
        <f t="shared" si="13"/>
        <v>0</v>
      </c>
      <c r="U64" s="22"/>
      <c r="V64" s="22"/>
    </row>
    <row r="65" spans="3:48" s="7" customFormat="1" ht="60.75" customHeight="1">
      <c r="C65" s="30" t="s">
        <v>146</v>
      </c>
      <c r="D65" s="30"/>
      <c r="E65" s="30"/>
      <c r="F65" s="121"/>
      <c r="G65" s="85" t="s">
        <v>418</v>
      </c>
      <c r="H65" s="166"/>
      <c r="I65" s="166"/>
      <c r="J65" s="167"/>
      <c r="K65" s="166"/>
      <c r="L65" s="166"/>
      <c r="M65" s="166"/>
      <c r="N65" s="166"/>
      <c r="O65" s="167"/>
      <c r="P65" s="166"/>
      <c r="Q65" s="166"/>
      <c r="R65" s="167"/>
      <c r="S65" s="167"/>
      <c r="T65" s="129"/>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row>
    <row r="66" spans="3:48" s="7" customFormat="1" ht="60.75" customHeight="1">
      <c r="C66" s="151" t="s">
        <v>147</v>
      </c>
      <c r="D66" s="30"/>
      <c r="E66" s="30"/>
      <c r="F66" s="115"/>
      <c r="G66" s="31" t="s">
        <v>417</v>
      </c>
      <c r="H66" s="166"/>
      <c r="I66" s="166"/>
      <c r="J66" s="167"/>
      <c r="K66" s="166"/>
      <c r="L66" s="166"/>
      <c r="M66" s="166"/>
      <c r="N66" s="166"/>
      <c r="O66" s="167"/>
      <c r="P66" s="166"/>
      <c r="Q66" s="166"/>
      <c r="R66" s="167"/>
      <c r="S66" s="167"/>
      <c r="T66" s="129"/>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row>
    <row r="67" spans="3:48" s="19" customFormat="1" ht="37.5" customHeight="1">
      <c r="C67" s="65"/>
      <c r="D67" s="65"/>
      <c r="E67" s="65"/>
      <c r="F67" s="122"/>
      <c r="G67" s="66" t="s">
        <v>45</v>
      </c>
      <c r="H67" s="170">
        <f>H69+H71+H76+H84+H91+H92+H100+H116+H127</f>
        <v>88670.73689999999</v>
      </c>
      <c r="I67" s="170">
        <f>I69+I71+I76+I84+I91+I92+I100+I116+I127</f>
        <v>44214.903080000004</v>
      </c>
      <c r="J67" s="176">
        <f aca="true" t="shared" si="14" ref="J67:J93">I67/H67*100</f>
        <v>49.86414303725044</v>
      </c>
      <c r="K67" s="170">
        <f>K69+K71+K76+K84+K91+K92+K100+K116+K127</f>
        <v>205</v>
      </c>
      <c r="L67" s="170">
        <f>L69+L71+L76+L84+L91+L92+L100+L116+L127</f>
        <v>0</v>
      </c>
      <c r="M67" s="170">
        <f>M69+M71+M76+M84+M91+M92+M100+M116+M127</f>
        <v>0</v>
      </c>
      <c r="N67" s="170">
        <f>N69+N71+N76+N84+N91+N92+N100+N116+N127</f>
        <v>0</v>
      </c>
      <c r="O67" s="176">
        <f aca="true" t="shared" si="15" ref="O67:O77">M67/K67*100</f>
        <v>0</v>
      </c>
      <c r="P67" s="170">
        <f>H67+K67</f>
        <v>88875.73689999999</v>
      </c>
      <c r="Q67" s="170">
        <f>I67+M67</f>
        <v>44214.903080000004</v>
      </c>
      <c r="R67" s="171">
        <f>Q67-P67</f>
        <v>-44660.833819999985</v>
      </c>
      <c r="S67" s="171">
        <f>Q67/P67*100</f>
        <v>49.749126839588556</v>
      </c>
      <c r="T67" s="49">
        <f>T69+T93+T101+T95+T96+T103+T97+T117+T118+T119+T120+T121+T122+T123+T124+T98+T104+T125+T127+T71+T72+T73+T75</f>
        <v>0</v>
      </c>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row>
    <row r="68" spans="1:20" s="7" customFormat="1" ht="115.5" customHeight="1">
      <c r="A68" s="7">
        <v>3</v>
      </c>
      <c r="B68" s="7">
        <v>18</v>
      </c>
      <c r="C68" s="32" t="s">
        <v>307</v>
      </c>
      <c r="D68" s="32" t="s">
        <v>437</v>
      </c>
      <c r="E68" s="32" t="s">
        <v>438</v>
      </c>
      <c r="F68" s="115" t="s">
        <v>205</v>
      </c>
      <c r="G68" s="33" t="s">
        <v>620</v>
      </c>
      <c r="H68" s="166">
        <f>3948.6+230.5</f>
        <v>4179.1</v>
      </c>
      <c r="I68" s="166">
        <v>1902.73196</v>
      </c>
      <c r="J68" s="176">
        <f t="shared" si="14"/>
        <v>45.529706396113994</v>
      </c>
      <c r="K68" s="166"/>
      <c r="L68" s="166"/>
      <c r="M68" s="166"/>
      <c r="N68" s="166"/>
      <c r="O68" s="176"/>
      <c r="P68" s="170">
        <f aca="true" t="shared" si="16" ref="P68:P131">H68+K68</f>
        <v>4179.1</v>
      </c>
      <c r="Q68" s="170">
        <f aca="true" t="shared" si="17" ref="Q68:Q131">I68+M68</f>
        <v>1902.73196</v>
      </c>
      <c r="R68" s="171">
        <f aca="true" t="shared" si="18" ref="R68:R131">Q68-P68</f>
        <v>-2276.3680400000003</v>
      </c>
      <c r="S68" s="171">
        <f aca="true" t="shared" si="19" ref="S68:S131">Q68/P68*100</f>
        <v>45.529706396113994</v>
      </c>
      <c r="T68" s="129"/>
    </row>
    <row r="69" spans="1:20" s="7" customFormat="1" ht="115.5" customHeight="1">
      <c r="A69" s="7">
        <v>10</v>
      </c>
      <c r="B69" s="7">
        <v>19</v>
      </c>
      <c r="C69" s="5" t="s">
        <v>274</v>
      </c>
      <c r="D69" s="5" t="s">
        <v>482</v>
      </c>
      <c r="E69" s="5" t="s">
        <v>459</v>
      </c>
      <c r="F69" s="115" t="s">
        <v>284</v>
      </c>
      <c r="G69" s="41" t="s">
        <v>635</v>
      </c>
      <c r="H69" s="166">
        <v>660.7</v>
      </c>
      <c r="I69" s="166">
        <v>266.8132</v>
      </c>
      <c r="J69" s="176">
        <f t="shared" si="14"/>
        <v>40.383411533222336</v>
      </c>
      <c r="K69" s="166"/>
      <c r="L69" s="166"/>
      <c r="M69" s="166"/>
      <c r="N69" s="166"/>
      <c r="O69" s="176"/>
      <c r="P69" s="170">
        <f t="shared" si="16"/>
        <v>660.7</v>
      </c>
      <c r="Q69" s="170">
        <f t="shared" si="17"/>
        <v>266.8132</v>
      </c>
      <c r="R69" s="171">
        <f t="shared" si="18"/>
        <v>-393.88680000000005</v>
      </c>
      <c r="S69" s="171">
        <f t="shared" si="19"/>
        <v>40.383411533222336</v>
      </c>
      <c r="T69" s="129"/>
    </row>
    <row r="70" spans="3:22" s="7" customFormat="1" ht="51.75" customHeight="1">
      <c r="C70" s="59" t="s">
        <v>728</v>
      </c>
      <c r="D70" s="59" t="s">
        <v>729</v>
      </c>
      <c r="E70" s="59" t="s">
        <v>730</v>
      </c>
      <c r="F70" s="116" t="s">
        <v>327</v>
      </c>
      <c r="G70" s="29" t="s">
        <v>328</v>
      </c>
      <c r="H70" s="179">
        <f>SUM(H71:H77)</f>
        <v>60429.9369</v>
      </c>
      <c r="I70" s="179">
        <f>SUM(I71:I77)</f>
        <v>29390.82136</v>
      </c>
      <c r="J70" s="176">
        <f t="shared" si="14"/>
        <v>48.63619402521667</v>
      </c>
      <c r="K70" s="179">
        <f>K71+K77</f>
        <v>8596.94543</v>
      </c>
      <c r="L70" s="179">
        <f>L71+L77</f>
        <v>0</v>
      </c>
      <c r="M70" s="179">
        <f>M71+M77</f>
        <v>3311.19835</v>
      </c>
      <c r="N70" s="179">
        <f>N71+N77</f>
        <v>62.01461</v>
      </c>
      <c r="O70" s="176">
        <f t="shared" si="15"/>
        <v>38.51598660199941</v>
      </c>
      <c r="P70" s="170">
        <f t="shared" si="16"/>
        <v>69026.88233</v>
      </c>
      <c r="Q70" s="170">
        <f t="shared" si="17"/>
        <v>32702.01971</v>
      </c>
      <c r="R70" s="171">
        <f t="shared" si="18"/>
        <v>-36324.86261999999</v>
      </c>
      <c r="S70" s="171">
        <f t="shared" si="19"/>
        <v>47.37577391031505</v>
      </c>
      <c r="T70" s="131">
        <f>SUM(T71:T77)</f>
        <v>231.7</v>
      </c>
      <c r="U70" s="22"/>
      <c r="V70" s="22"/>
    </row>
    <row r="71" spans="3:21" s="7" customFormat="1" ht="30" customHeight="1">
      <c r="C71" s="61"/>
      <c r="D71" s="61"/>
      <c r="E71" s="61"/>
      <c r="F71" s="117"/>
      <c r="G71" s="93" t="s">
        <v>337</v>
      </c>
      <c r="H71" s="179">
        <v>33081.2</v>
      </c>
      <c r="I71" s="179">
        <v>16615.76505</v>
      </c>
      <c r="J71" s="176">
        <f t="shared" si="14"/>
        <v>50.2272137951465</v>
      </c>
      <c r="K71" s="179">
        <v>205</v>
      </c>
      <c r="L71" s="166"/>
      <c r="M71" s="166"/>
      <c r="N71" s="166"/>
      <c r="O71" s="176">
        <f t="shared" si="15"/>
        <v>0</v>
      </c>
      <c r="P71" s="170">
        <f t="shared" si="16"/>
        <v>33286.2</v>
      </c>
      <c r="Q71" s="170">
        <f t="shared" si="17"/>
        <v>16615.76505</v>
      </c>
      <c r="R71" s="171">
        <f t="shared" si="18"/>
        <v>-16670.434949999995</v>
      </c>
      <c r="S71" s="171">
        <f t="shared" si="19"/>
        <v>49.91787903094978</v>
      </c>
      <c r="T71" s="129"/>
      <c r="U71" s="22"/>
    </row>
    <row r="72" spans="3:21" s="7" customFormat="1" ht="46.5" customHeight="1" hidden="1">
      <c r="C72" s="61"/>
      <c r="D72" s="61"/>
      <c r="E72" s="61"/>
      <c r="F72" s="117"/>
      <c r="G72" s="93" t="s">
        <v>338</v>
      </c>
      <c r="H72" s="179"/>
      <c r="I72" s="179"/>
      <c r="J72" s="176" t="e">
        <f t="shared" si="14"/>
        <v>#DIV/0!</v>
      </c>
      <c r="K72" s="179"/>
      <c r="L72" s="166"/>
      <c r="M72" s="166"/>
      <c r="N72" s="166"/>
      <c r="O72" s="176" t="e">
        <f t="shared" si="15"/>
        <v>#DIV/0!</v>
      </c>
      <c r="P72" s="170">
        <f t="shared" si="16"/>
        <v>0</v>
      </c>
      <c r="Q72" s="170">
        <f t="shared" si="17"/>
        <v>0</v>
      </c>
      <c r="R72" s="171">
        <f t="shared" si="18"/>
        <v>0</v>
      </c>
      <c r="S72" s="171" t="e">
        <f t="shared" si="19"/>
        <v>#DIV/0!</v>
      </c>
      <c r="T72" s="129"/>
      <c r="U72" s="22"/>
    </row>
    <row r="73" spans="3:20" s="7" customFormat="1" ht="56.25" customHeight="1" hidden="1">
      <c r="C73" s="61"/>
      <c r="D73" s="61"/>
      <c r="E73" s="61"/>
      <c r="F73" s="117"/>
      <c r="G73" s="93" t="s">
        <v>344</v>
      </c>
      <c r="H73" s="179"/>
      <c r="I73" s="179"/>
      <c r="J73" s="176" t="e">
        <f t="shared" si="14"/>
        <v>#DIV/0!</v>
      </c>
      <c r="K73" s="179"/>
      <c r="L73" s="166"/>
      <c r="M73" s="166"/>
      <c r="N73" s="166"/>
      <c r="O73" s="176" t="e">
        <f t="shared" si="15"/>
        <v>#DIV/0!</v>
      </c>
      <c r="P73" s="170">
        <f t="shared" si="16"/>
        <v>0</v>
      </c>
      <c r="Q73" s="170">
        <f t="shared" si="17"/>
        <v>0</v>
      </c>
      <c r="R73" s="171">
        <f t="shared" si="18"/>
        <v>0</v>
      </c>
      <c r="S73" s="171" t="e">
        <f t="shared" si="19"/>
        <v>#DIV/0!</v>
      </c>
      <c r="T73" s="129"/>
    </row>
    <row r="74" spans="3:20" s="7" customFormat="1" ht="30" customHeight="1" hidden="1">
      <c r="C74" s="61"/>
      <c r="D74" s="61"/>
      <c r="E74" s="61"/>
      <c r="F74" s="117"/>
      <c r="G74" s="93" t="s">
        <v>393</v>
      </c>
      <c r="H74" s="179"/>
      <c r="I74" s="179"/>
      <c r="J74" s="176" t="e">
        <f t="shared" si="14"/>
        <v>#DIV/0!</v>
      </c>
      <c r="K74" s="179"/>
      <c r="L74" s="166"/>
      <c r="M74" s="166"/>
      <c r="N74" s="166"/>
      <c r="O74" s="176" t="e">
        <f t="shared" si="15"/>
        <v>#DIV/0!</v>
      </c>
      <c r="P74" s="170">
        <f t="shared" si="16"/>
        <v>0</v>
      </c>
      <c r="Q74" s="170">
        <f t="shared" si="17"/>
        <v>0</v>
      </c>
      <c r="R74" s="171">
        <f t="shared" si="18"/>
        <v>0</v>
      </c>
      <c r="S74" s="171" t="e">
        <f t="shared" si="19"/>
        <v>#DIV/0!</v>
      </c>
      <c r="T74" s="129"/>
    </row>
    <row r="75" spans="3:20" s="7" customFormat="1" ht="45" customHeight="1" hidden="1">
      <c r="C75" s="61"/>
      <c r="D75" s="61"/>
      <c r="E75" s="61"/>
      <c r="F75" s="117"/>
      <c r="G75" s="93" t="s">
        <v>425</v>
      </c>
      <c r="H75" s="179"/>
      <c r="I75" s="179"/>
      <c r="J75" s="176" t="e">
        <f t="shared" si="14"/>
        <v>#DIV/0!</v>
      </c>
      <c r="K75" s="179"/>
      <c r="L75" s="166"/>
      <c r="M75" s="166"/>
      <c r="N75" s="166"/>
      <c r="O75" s="176" t="e">
        <f t="shared" si="15"/>
        <v>#DIV/0!</v>
      </c>
      <c r="P75" s="170">
        <f t="shared" si="16"/>
        <v>0</v>
      </c>
      <c r="Q75" s="170">
        <f t="shared" si="17"/>
        <v>0</v>
      </c>
      <c r="R75" s="171">
        <f t="shared" si="18"/>
        <v>0</v>
      </c>
      <c r="S75" s="171" t="e">
        <f t="shared" si="19"/>
        <v>#DIV/0!</v>
      </c>
      <c r="T75" s="129"/>
    </row>
    <row r="76" spans="3:20" s="7" customFormat="1" ht="45" customHeight="1">
      <c r="C76" s="61"/>
      <c r="D76" s="61"/>
      <c r="E76" s="61"/>
      <c r="F76" s="117"/>
      <c r="G76" s="93" t="s">
        <v>731</v>
      </c>
      <c r="H76" s="179">
        <v>913.3369</v>
      </c>
      <c r="I76" s="179"/>
      <c r="J76" s="176"/>
      <c r="K76" s="179"/>
      <c r="L76" s="166"/>
      <c r="M76" s="166"/>
      <c r="N76" s="166"/>
      <c r="O76" s="176"/>
      <c r="P76" s="170">
        <f t="shared" si="16"/>
        <v>913.3369</v>
      </c>
      <c r="Q76" s="170">
        <f t="shared" si="17"/>
        <v>0</v>
      </c>
      <c r="R76" s="171">
        <f t="shared" si="18"/>
        <v>-913.3369</v>
      </c>
      <c r="S76" s="171">
        <f t="shared" si="19"/>
        <v>0</v>
      </c>
      <c r="T76" s="129"/>
    </row>
    <row r="77" spans="3:22" s="7" customFormat="1" ht="26.25" customHeight="1">
      <c r="C77" s="61"/>
      <c r="D77" s="61"/>
      <c r="E77" s="61"/>
      <c r="F77" s="117"/>
      <c r="G77" s="93" t="s">
        <v>339</v>
      </c>
      <c r="H77" s="179">
        <v>26435.4</v>
      </c>
      <c r="I77" s="179">
        <v>12775.05631</v>
      </c>
      <c r="J77" s="176">
        <f t="shared" si="14"/>
        <v>48.32556462168153</v>
      </c>
      <c r="K77" s="179">
        <f>8596.94543-205</f>
        <v>8391.94543</v>
      </c>
      <c r="L77" s="166"/>
      <c r="M77" s="182">
        <v>3311.19835</v>
      </c>
      <c r="N77" s="179">
        <v>62.01461</v>
      </c>
      <c r="O77" s="176">
        <f t="shared" si="15"/>
        <v>39.456862268943524</v>
      </c>
      <c r="P77" s="170">
        <f t="shared" si="16"/>
        <v>34827.34543</v>
      </c>
      <c r="Q77" s="170">
        <f t="shared" si="17"/>
        <v>16086.25466</v>
      </c>
      <c r="R77" s="171">
        <f t="shared" si="18"/>
        <v>-18741.090770000003</v>
      </c>
      <c r="S77" s="171">
        <f t="shared" si="19"/>
        <v>46.18857527436882</v>
      </c>
      <c r="T77" s="98">
        <v>231.7</v>
      </c>
      <c r="U77" s="22"/>
      <c r="V77" s="22"/>
    </row>
    <row r="78" spans="3:20" s="7" customFormat="1" ht="38.25" customHeight="1">
      <c r="C78" s="83" t="s">
        <v>355</v>
      </c>
      <c r="D78" s="83" t="s">
        <v>493</v>
      </c>
      <c r="E78" s="83"/>
      <c r="F78" s="117"/>
      <c r="G78" s="84" t="s">
        <v>34</v>
      </c>
      <c r="H78" s="166">
        <f>H79+H80+H81+H82+H85</f>
        <v>892.4</v>
      </c>
      <c r="I78" s="166">
        <f>I79+I80+I81+I82+I85</f>
        <v>380.9746</v>
      </c>
      <c r="J78" s="176">
        <f t="shared" si="14"/>
        <v>42.69101299865532</v>
      </c>
      <c r="K78" s="166"/>
      <c r="L78" s="166"/>
      <c r="M78" s="166"/>
      <c r="N78" s="166"/>
      <c r="O78" s="169"/>
      <c r="P78" s="170">
        <f t="shared" si="16"/>
        <v>892.4</v>
      </c>
      <c r="Q78" s="170">
        <f t="shared" si="17"/>
        <v>380.9746</v>
      </c>
      <c r="R78" s="171">
        <f t="shared" si="18"/>
        <v>-511.42539999999997</v>
      </c>
      <c r="S78" s="171">
        <f t="shared" si="19"/>
        <v>42.69101299865532</v>
      </c>
      <c r="T78" s="129"/>
    </row>
    <row r="79" spans="3:20" s="7" customFormat="1" ht="57.75" customHeight="1">
      <c r="C79" s="76" t="s">
        <v>356</v>
      </c>
      <c r="D79" s="76" t="s">
        <v>494</v>
      </c>
      <c r="E79" s="76" t="s">
        <v>667</v>
      </c>
      <c r="F79" s="118" t="s">
        <v>317</v>
      </c>
      <c r="G79" s="96" t="s">
        <v>698</v>
      </c>
      <c r="H79" s="170">
        <v>149.5</v>
      </c>
      <c r="I79" s="170">
        <v>103.38147</v>
      </c>
      <c r="J79" s="176">
        <f t="shared" si="14"/>
        <v>69.15148494983278</v>
      </c>
      <c r="K79" s="166"/>
      <c r="L79" s="166"/>
      <c r="M79" s="166"/>
      <c r="N79" s="166"/>
      <c r="O79" s="169"/>
      <c r="P79" s="170">
        <f t="shared" si="16"/>
        <v>149.5</v>
      </c>
      <c r="Q79" s="170">
        <f t="shared" si="17"/>
        <v>103.38147</v>
      </c>
      <c r="R79" s="171">
        <f t="shared" si="18"/>
        <v>-46.11853000000001</v>
      </c>
      <c r="S79" s="171">
        <f t="shared" si="19"/>
        <v>69.15148494983278</v>
      </c>
      <c r="T79" s="129"/>
    </row>
    <row r="80" spans="3:20" s="7" customFormat="1" ht="55.5" customHeight="1">
      <c r="C80" s="76" t="s">
        <v>360</v>
      </c>
      <c r="D80" s="76" t="s">
        <v>495</v>
      </c>
      <c r="E80" s="76" t="s">
        <v>484</v>
      </c>
      <c r="F80" s="118" t="s">
        <v>24</v>
      </c>
      <c r="G80" s="77" t="s">
        <v>699</v>
      </c>
      <c r="H80" s="170">
        <v>75.4</v>
      </c>
      <c r="I80" s="170">
        <v>10.31863</v>
      </c>
      <c r="J80" s="176">
        <f t="shared" si="14"/>
        <v>13.685185676392573</v>
      </c>
      <c r="K80" s="166"/>
      <c r="L80" s="166"/>
      <c r="M80" s="166"/>
      <c r="N80" s="166"/>
      <c r="O80" s="169"/>
      <c r="P80" s="170">
        <f t="shared" si="16"/>
        <v>75.4</v>
      </c>
      <c r="Q80" s="170">
        <f t="shared" si="17"/>
        <v>10.31863</v>
      </c>
      <c r="R80" s="171">
        <f t="shared" si="18"/>
        <v>-65.08137</v>
      </c>
      <c r="S80" s="171">
        <f t="shared" si="19"/>
        <v>13.685185676392573</v>
      </c>
      <c r="T80" s="129"/>
    </row>
    <row r="81" spans="3:20" s="7" customFormat="1" ht="54" customHeight="1">
      <c r="C81" s="76" t="s">
        <v>361</v>
      </c>
      <c r="D81" s="76" t="s">
        <v>496</v>
      </c>
      <c r="E81" s="76" t="s">
        <v>484</v>
      </c>
      <c r="F81" s="118" t="s">
        <v>25</v>
      </c>
      <c r="G81" s="77" t="s">
        <v>23</v>
      </c>
      <c r="H81" s="170">
        <v>30</v>
      </c>
      <c r="I81" s="170">
        <v>9.59705</v>
      </c>
      <c r="J81" s="176">
        <f t="shared" si="14"/>
        <v>31.990166666666664</v>
      </c>
      <c r="K81" s="166"/>
      <c r="L81" s="166"/>
      <c r="M81" s="166"/>
      <c r="N81" s="166"/>
      <c r="O81" s="169"/>
      <c r="P81" s="170">
        <f t="shared" si="16"/>
        <v>30</v>
      </c>
      <c r="Q81" s="170">
        <f t="shared" si="17"/>
        <v>9.59705</v>
      </c>
      <c r="R81" s="171">
        <f t="shared" si="18"/>
        <v>-20.40295</v>
      </c>
      <c r="S81" s="171">
        <f t="shared" si="19"/>
        <v>31.990166666666664</v>
      </c>
      <c r="T81" s="129"/>
    </row>
    <row r="82" spans="3:20" s="7" customFormat="1" ht="63.75" customHeight="1">
      <c r="C82" s="76" t="s">
        <v>362</v>
      </c>
      <c r="D82" s="76" t="s">
        <v>497</v>
      </c>
      <c r="E82" s="76" t="s">
        <v>484</v>
      </c>
      <c r="F82" s="118" t="s">
        <v>26</v>
      </c>
      <c r="G82" s="77" t="s">
        <v>732</v>
      </c>
      <c r="H82" s="170">
        <f>H83+H84</f>
        <v>487.5</v>
      </c>
      <c r="I82" s="170">
        <f>I83+I84</f>
        <v>113.67745</v>
      </c>
      <c r="J82" s="176">
        <f t="shared" si="14"/>
        <v>23.31845128205128</v>
      </c>
      <c r="K82" s="166"/>
      <c r="L82" s="166"/>
      <c r="M82" s="166"/>
      <c r="N82" s="166"/>
      <c r="O82" s="169"/>
      <c r="P82" s="170">
        <f t="shared" si="16"/>
        <v>487.5</v>
      </c>
      <c r="Q82" s="170">
        <f t="shared" si="17"/>
        <v>113.67745</v>
      </c>
      <c r="R82" s="171">
        <f t="shared" si="18"/>
        <v>-373.82255</v>
      </c>
      <c r="S82" s="171">
        <f t="shared" si="19"/>
        <v>23.31845128205128</v>
      </c>
      <c r="T82" s="129"/>
    </row>
    <row r="83" spans="3:20" s="7" customFormat="1" ht="63.75" customHeight="1">
      <c r="C83" s="76"/>
      <c r="D83" s="76"/>
      <c r="E83" s="76"/>
      <c r="F83" s="118"/>
      <c r="G83" s="77" t="s">
        <v>733</v>
      </c>
      <c r="H83" s="170">
        <v>150</v>
      </c>
      <c r="I83" s="170">
        <v>113.67745</v>
      </c>
      <c r="J83" s="176">
        <f t="shared" si="14"/>
        <v>75.78496666666666</v>
      </c>
      <c r="K83" s="166"/>
      <c r="L83" s="166"/>
      <c r="M83" s="166"/>
      <c r="N83" s="166"/>
      <c r="O83" s="169"/>
      <c r="P83" s="170">
        <f t="shared" si="16"/>
        <v>150</v>
      </c>
      <c r="Q83" s="170">
        <f t="shared" si="17"/>
        <v>113.67745</v>
      </c>
      <c r="R83" s="171">
        <f t="shared" si="18"/>
        <v>-36.32255000000001</v>
      </c>
      <c r="S83" s="171">
        <f t="shared" si="19"/>
        <v>75.78496666666666</v>
      </c>
      <c r="T83" s="129"/>
    </row>
    <row r="84" spans="3:20" s="7" customFormat="1" ht="63.75" customHeight="1">
      <c r="C84" s="76"/>
      <c r="D84" s="76"/>
      <c r="E84" s="76"/>
      <c r="F84" s="118"/>
      <c r="G84" s="77" t="s">
        <v>734</v>
      </c>
      <c r="H84" s="170">
        <v>337.5</v>
      </c>
      <c r="I84" s="170">
        <v>0</v>
      </c>
      <c r="J84" s="176">
        <f t="shared" si="14"/>
        <v>0</v>
      </c>
      <c r="K84" s="166"/>
      <c r="L84" s="166"/>
      <c r="M84" s="166"/>
      <c r="N84" s="166"/>
      <c r="O84" s="169"/>
      <c r="P84" s="170">
        <f t="shared" si="16"/>
        <v>337.5</v>
      </c>
      <c r="Q84" s="170">
        <f t="shared" si="17"/>
        <v>0</v>
      </c>
      <c r="R84" s="171">
        <f t="shared" si="18"/>
        <v>-337.5</v>
      </c>
      <c r="S84" s="171">
        <f t="shared" si="19"/>
        <v>0</v>
      </c>
      <c r="T84" s="129"/>
    </row>
    <row r="85" spans="3:20" s="7" customFormat="1" ht="57.75" customHeight="1">
      <c r="C85" s="76" t="s">
        <v>357</v>
      </c>
      <c r="D85" s="76" t="s">
        <v>498</v>
      </c>
      <c r="E85" s="76" t="s">
        <v>484</v>
      </c>
      <c r="F85" s="118" t="s">
        <v>27</v>
      </c>
      <c r="G85" s="77" t="s">
        <v>433</v>
      </c>
      <c r="H85" s="170">
        <v>150</v>
      </c>
      <c r="I85" s="170">
        <v>144</v>
      </c>
      <c r="J85" s="176">
        <f t="shared" si="14"/>
        <v>96</v>
      </c>
      <c r="K85" s="166"/>
      <c r="L85" s="166"/>
      <c r="M85" s="166"/>
      <c r="N85" s="166"/>
      <c r="O85" s="169"/>
      <c r="P85" s="170">
        <f t="shared" si="16"/>
        <v>150</v>
      </c>
      <c r="Q85" s="170">
        <f t="shared" si="17"/>
        <v>144</v>
      </c>
      <c r="R85" s="171">
        <f t="shared" si="18"/>
        <v>-6</v>
      </c>
      <c r="S85" s="171">
        <f t="shared" si="19"/>
        <v>96</v>
      </c>
      <c r="T85" s="129"/>
    </row>
    <row r="86" spans="1:20" s="7" customFormat="1" ht="46.5" customHeight="1">
      <c r="A86" s="7">
        <v>2</v>
      </c>
      <c r="B86" s="7">
        <v>20</v>
      </c>
      <c r="C86" s="59" t="s">
        <v>19</v>
      </c>
      <c r="D86" s="59" t="s">
        <v>483</v>
      </c>
      <c r="E86" s="59" t="s">
        <v>484</v>
      </c>
      <c r="F86" s="116" t="s">
        <v>18</v>
      </c>
      <c r="G86" s="62" t="s">
        <v>20</v>
      </c>
      <c r="H86" s="166">
        <f>SUM(H87:H91)</f>
        <v>942.25</v>
      </c>
      <c r="I86" s="166">
        <f>SUM(I87:I91)</f>
        <v>328.7646</v>
      </c>
      <c r="J86" s="176">
        <f t="shared" si="14"/>
        <v>34.89144070045104</v>
      </c>
      <c r="K86" s="166"/>
      <c r="L86" s="166">
        <f>SUM(L78:L85)</f>
        <v>0</v>
      </c>
      <c r="M86" s="166"/>
      <c r="N86" s="166"/>
      <c r="O86" s="169"/>
      <c r="P86" s="170">
        <f t="shared" si="16"/>
        <v>942.25</v>
      </c>
      <c r="Q86" s="170">
        <f t="shared" si="17"/>
        <v>328.7646</v>
      </c>
      <c r="R86" s="171">
        <f t="shared" si="18"/>
        <v>-613.4854</v>
      </c>
      <c r="S86" s="171">
        <f t="shared" si="19"/>
        <v>34.89144070045104</v>
      </c>
      <c r="T86" s="129"/>
    </row>
    <row r="87" spans="3:20" s="7" customFormat="1" ht="42.75" customHeight="1">
      <c r="C87" s="59" t="s">
        <v>485</v>
      </c>
      <c r="D87" s="32" t="s">
        <v>489</v>
      </c>
      <c r="E87" s="32" t="s">
        <v>484</v>
      </c>
      <c r="F87" s="115"/>
      <c r="G87" s="66" t="s">
        <v>432</v>
      </c>
      <c r="H87" s="166">
        <v>130</v>
      </c>
      <c r="I87" s="166">
        <v>44.265</v>
      </c>
      <c r="J87" s="176">
        <f t="shared" si="14"/>
        <v>34.050000000000004</v>
      </c>
      <c r="K87" s="166"/>
      <c r="L87" s="166"/>
      <c r="M87" s="166"/>
      <c r="N87" s="166"/>
      <c r="O87" s="169"/>
      <c r="P87" s="170">
        <f t="shared" si="16"/>
        <v>130</v>
      </c>
      <c r="Q87" s="170">
        <f t="shared" si="17"/>
        <v>44.265</v>
      </c>
      <c r="R87" s="171">
        <f t="shared" si="18"/>
        <v>-85.735</v>
      </c>
      <c r="S87" s="171">
        <f t="shared" si="19"/>
        <v>34.050000000000004</v>
      </c>
      <c r="T87" s="129"/>
    </row>
    <row r="88" spans="3:20" s="7" customFormat="1" ht="45" customHeight="1">
      <c r="C88" s="59" t="s">
        <v>486</v>
      </c>
      <c r="D88" s="32" t="s">
        <v>490</v>
      </c>
      <c r="E88" s="59" t="s">
        <v>484</v>
      </c>
      <c r="F88" s="115"/>
      <c r="G88" s="66" t="s">
        <v>22</v>
      </c>
      <c r="H88" s="166">
        <v>72</v>
      </c>
      <c r="I88" s="166">
        <v>17.19182</v>
      </c>
      <c r="J88" s="176">
        <f t="shared" si="14"/>
        <v>23.877527777777775</v>
      </c>
      <c r="K88" s="166"/>
      <c r="L88" s="166"/>
      <c r="M88" s="166"/>
      <c r="N88" s="166"/>
      <c r="O88" s="169"/>
      <c r="P88" s="170">
        <f t="shared" si="16"/>
        <v>72</v>
      </c>
      <c r="Q88" s="170">
        <f t="shared" si="17"/>
        <v>17.19182</v>
      </c>
      <c r="R88" s="171">
        <f t="shared" si="18"/>
        <v>-54.80818</v>
      </c>
      <c r="S88" s="171">
        <f t="shared" si="19"/>
        <v>23.877527777777775</v>
      </c>
      <c r="T88" s="129"/>
    </row>
    <row r="89" spans="3:20" s="7" customFormat="1" ht="45" customHeight="1">
      <c r="C89" s="59" t="s">
        <v>487</v>
      </c>
      <c r="D89" s="32" t="s">
        <v>491</v>
      </c>
      <c r="E89" s="32" t="s">
        <v>484</v>
      </c>
      <c r="F89" s="115"/>
      <c r="G89" s="66" t="s">
        <v>352</v>
      </c>
      <c r="H89" s="166">
        <v>226</v>
      </c>
      <c r="I89" s="166">
        <v>87.73472</v>
      </c>
      <c r="J89" s="176">
        <f t="shared" si="14"/>
        <v>38.82067256637168</v>
      </c>
      <c r="K89" s="166"/>
      <c r="L89" s="166"/>
      <c r="M89" s="166"/>
      <c r="N89" s="166"/>
      <c r="O89" s="169"/>
      <c r="P89" s="170">
        <f t="shared" si="16"/>
        <v>226</v>
      </c>
      <c r="Q89" s="170">
        <f t="shared" si="17"/>
        <v>87.73472</v>
      </c>
      <c r="R89" s="171">
        <f t="shared" si="18"/>
        <v>-138.26528000000002</v>
      </c>
      <c r="S89" s="171">
        <f t="shared" si="19"/>
        <v>38.82067256637168</v>
      </c>
      <c r="T89" s="129"/>
    </row>
    <row r="90" spans="3:20" s="7" customFormat="1" ht="45" customHeight="1">
      <c r="C90" s="59" t="s">
        <v>488</v>
      </c>
      <c r="D90" s="32" t="s">
        <v>492</v>
      </c>
      <c r="E90" s="59" t="s">
        <v>484</v>
      </c>
      <c r="F90" s="115"/>
      <c r="G90" s="66" t="s">
        <v>21</v>
      </c>
      <c r="H90" s="166">
        <v>59.75</v>
      </c>
      <c r="I90" s="166">
        <v>28.6</v>
      </c>
      <c r="J90" s="176">
        <f t="shared" si="14"/>
        <v>47.86610878661088</v>
      </c>
      <c r="K90" s="166"/>
      <c r="L90" s="166"/>
      <c r="M90" s="166"/>
      <c r="N90" s="166"/>
      <c r="O90" s="169"/>
      <c r="P90" s="170">
        <f t="shared" si="16"/>
        <v>59.75</v>
      </c>
      <c r="Q90" s="170">
        <f t="shared" si="17"/>
        <v>28.6</v>
      </c>
      <c r="R90" s="171">
        <f t="shared" si="18"/>
        <v>-31.15</v>
      </c>
      <c r="S90" s="171">
        <f t="shared" si="19"/>
        <v>47.86610878661088</v>
      </c>
      <c r="T90" s="129"/>
    </row>
    <row r="91" spans="3:20" s="7" customFormat="1" ht="48">
      <c r="C91" s="59" t="s">
        <v>735</v>
      </c>
      <c r="D91" s="32" t="s">
        <v>736</v>
      </c>
      <c r="E91" s="59" t="s">
        <v>484</v>
      </c>
      <c r="F91" s="115"/>
      <c r="G91" s="66" t="s">
        <v>737</v>
      </c>
      <c r="H91" s="166">
        <v>454.5</v>
      </c>
      <c r="I91" s="166">
        <v>150.97306</v>
      </c>
      <c r="J91" s="176">
        <f t="shared" si="14"/>
        <v>33.21739493949395</v>
      </c>
      <c r="K91" s="166"/>
      <c r="L91" s="166"/>
      <c r="M91" s="166"/>
      <c r="N91" s="166"/>
      <c r="O91" s="169"/>
      <c r="P91" s="170">
        <f t="shared" si="16"/>
        <v>454.5</v>
      </c>
      <c r="Q91" s="170">
        <f t="shared" si="17"/>
        <v>150.97306</v>
      </c>
      <c r="R91" s="171">
        <f t="shared" si="18"/>
        <v>-303.52693999999997</v>
      </c>
      <c r="S91" s="171">
        <f t="shared" si="19"/>
        <v>33.21739493949395</v>
      </c>
      <c r="T91" s="129"/>
    </row>
    <row r="92" spans="1:21" s="7" customFormat="1" ht="83.25" customHeight="1">
      <c r="A92" s="7">
        <v>1</v>
      </c>
      <c r="B92" s="7">
        <v>22</v>
      </c>
      <c r="C92" s="32" t="s">
        <v>148</v>
      </c>
      <c r="D92" s="32" t="s">
        <v>499</v>
      </c>
      <c r="E92" s="32"/>
      <c r="F92" s="115"/>
      <c r="G92" s="43" t="s">
        <v>149</v>
      </c>
      <c r="H92" s="166">
        <f>SUM(H93:H99)</f>
        <v>12811.7</v>
      </c>
      <c r="I92" s="166">
        <f>SUM(I93:I99)</f>
        <v>8076.7830300000005</v>
      </c>
      <c r="J92" s="176">
        <f t="shared" si="14"/>
        <v>63.04224287175004</v>
      </c>
      <c r="K92" s="166"/>
      <c r="L92" s="166"/>
      <c r="M92" s="166"/>
      <c r="N92" s="166"/>
      <c r="O92" s="167">
        <f>SUM(O93:O98)</f>
        <v>0</v>
      </c>
      <c r="P92" s="170">
        <f t="shared" si="16"/>
        <v>12811.7</v>
      </c>
      <c r="Q92" s="170">
        <f t="shared" si="17"/>
        <v>8076.7830300000005</v>
      </c>
      <c r="R92" s="171">
        <f t="shared" si="18"/>
        <v>-4734.91697</v>
      </c>
      <c r="S92" s="171">
        <f t="shared" si="19"/>
        <v>63.04224287175004</v>
      </c>
      <c r="T92" s="129">
        <f>SUM(T93:T98)</f>
        <v>0</v>
      </c>
      <c r="U92" s="22"/>
    </row>
    <row r="93" spans="3:20" s="7" customFormat="1" ht="279" customHeight="1">
      <c r="C93" s="35" t="s">
        <v>60</v>
      </c>
      <c r="D93" s="35" t="s">
        <v>662</v>
      </c>
      <c r="E93" s="35" t="s">
        <v>501</v>
      </c>
      <c r="F93" s="119" t="s">
        <v>229</v>
      </c>
      <c r="G93" s="37" t="s">
        <v>505</v>
      </c>
      <c r="H93" s="166">
        <v>1899.08775</v>
      </c>
      <c r="I93" s="166">
        <v>986.82895</v>
      </c>
      <c r="J93" s="176">
        <f t="shared" si="14"/>
        <v>51.963315017960596</v>
      </c>
      <c r="K93" s="166"/>
      <c r="L93" s="166"/>
      <c r="M93" s="166"/>
      <c r="N93" s="166"/>
      <c r="O93" s="169"/>
      <c r="P93" s="170">
        <f t="shared" si="16"/>
        <v>1899.08775</v>
      </c>
      <c r="Q93" s="170">
        <f t="shared" si="17"/>
        <v>986.82895</v>
      </c>
      <c r="R93" s="171">
        <f t="shared" si="18"/>
        <v>-912.2588</v>
      </c>
      <c r="S93" s="171">
        <f t="shared" si="19"/>
        <v>51.963315017960596</v>
      </c>
      <c r="T93" s="129"/>
    </row>
    <row r="94" spans="3:20" s="7" customFormat="1" ht="409.5" customHeight="1">
      <c r="C94" s="44"/>
      <c r="D94" s="44"/>
      <c r="E94" s="44"/>
      <c r="F94" s="123"/>
      <c r="G94" s="37" t="s">
        <v>636</v>
      </c>
      <c r="H94" s="170"/>
      <c r="I94" s="183"/>
      <c r="J94" s="171"/>
      <c r="K94" s="170"/>
      <c r="L94" s="183"/>
      <c r="M94" s="170"/>
      <c r="N94" s="183"/>
      <c r="O94" s="224"/>
      <c r="P94" s="170">
        <f t="shared" si="16"/>
        <v>0</v>
      </c>
      <c r="Q94" s="170">
        <f t="shared" si="17"/>
        <v>0</v>
      </c>
      <c r="R94" s="171">
        <f t="shared" si="18"/>
        <v>0</v>
      </c>
      <c r="S94" s="171" t="e">
        <f t="shared" si="19"/>
        <v>#DIV/0!</v>
      </c>
      <c r="T94" s="138"/>
    </row>
    <row r="95" spans="3:20" s="7" customFormat="1" ht="327" customHeight="1">
      <c r="C95" s="35" t="s">
        <v>62</v>
      </c>
      <c r="D95" s="35" t="s">
        <v>500</v>
      </c>
      <c r="E95" s="35" t="s">
        <v>501</v>
      </c>
      <c r="F95" s="123" t="s">
        <v>231</v>
      </c>
      <c r="G95" s="37" t="s">
        <v>506</v>
      </c>
      <c r="H95" s="170">
        <v>309.99629</v>
      </c>
      <c r="I95" s="183">
        <v>165.96664</v>
      </c>
      <c r="J95" s="171"/>
      <c r="K95" s="170"/>
      <c r="L95" s="183"/>
      <c r="M95" s="170"/>
      <c r="N95" s="183"/>
      <c r="O95" s="224"/>
      <c r="P95" s="170">
        <f t="shared" si="16"/>
        <v>309.99629</v>
      </c>
      <c r="Q95" s="170">
        <f t="shared" si="17"/>
        <v>165.96664</v>
      </c>
      <c r="R95" s="171">
        <f t="shared" si="18"/>
        <v>-144.02964999999998</v>
      </c>
      <c r="S95" s="171">
        <f t="shared" si="19"/>
        <v>53.53826653860922</v>
      </c>
      <c r="T95" s="138"/>
    </row>
    <row r="96" spans="3:20" s="7" customFormat="1" ht="131.25" customHeight="1">
      <c r="C96" s="35" t="s">
        <v>64</v>
      </c>
      <c r="D96" s="35" t="s">
        <v>502</v>
      </c>
      <c r="E96" s="35" t="s">
        <v>477</v>
      </c>
      <c r="F96" s="119" t="s">
        <v>247</v>
      </c>
      <c r="G96" s="37" t="s">
        <v>507</v>
      </c>
      <c r="H96" s="166">
        <v>1419.49961</v>
      </c>
      <c r="I96" s="170">
        <v>731.52814</v>
      </c>
      <c r="J96" s="176">
        <f>I96/H96*100</f>
        <v>51.534226205247066</v>
      </c>
      <c r="K96" s="170"/>
      <c r="L96" s="170"/>
      <c r="M96" s="170"/>
      <c r="N96" s="170"/>
      <c r="O96" s="172"/>
      <c r="P96" s="170">
        <f t="shared" si="16"/>
        <v>1419.49961</v>
      </c>
      <c r="Q96" s="170">
        <f t="shared" si="17"/>
        <v>731.52814</v>
      </c>
      <c r="R96" s="171">
        <f t="shared" si="18"/>
        <v>-687.9714700000001</v>
      </c>
      <c r="S96" s="171">
        <f t="shared" si="19"/>
        <v>51.534226205247066</v>
      </c>
      <c r="T96" s="133"/>
    </row>
    <row r="97" spans="3:20" s="39" customFormat="1" ht="67.5" customHeight="1">
      <c r="C97" s="35" t="s">
        <v>71</v>
      </c>
      <c r="D97" s="35" t="s">
        <v>504</v>
      </c>
      <c r="E97" s="35" t="s">
        <v>477</v>
      </c>
      <c r="F97" s="119" t="s">
        <v>47</v>
      </c>
      <c r="G97" s="37" t="s">
        <v>508</v>
      </c>
      <c r="H97" s="166">
        <v>149.93132</v>
      </c>
      <c r="I97" s="170">
        <v>82.62837</v>
      </c>
      <c r="J97" s="176">
        <f>I97/H97*100</f>
        <v>55.11081340443078</v>
      </c>
      <c r="K97" s="170"/>
      <c r="L97" s="170"/>
      <c r="M97" s="170"/>
      <c r="N97" s="170"/>
      <c r="O97" s="172"/>
      <c r="P97" s="170">
        <f t="shared" si="16"/>
        <v>149.93132</v>
      </c>
      <c r="Q97" s="170">
        <f t="shared" si="17"/>
        <v>82.62837</v>
      </c>
      <c r="R97" s="171">
        <f t="shared" si="18"/>
        <v>-67.30295</v>
      </c>
      <c r="S97" s="171">
        <f t="shared" si="19"/>
        <v>55.11081340443078</v>
      </c>
      <c r="T97" s="133"/>
    </row>
    <row r="98" spans="3:20" s="39" customFormat="1" ht="63" customHeight="1">
      <c r="C98" s="35" t="s">
        <v>81</v>
      </c>
      <c r="D98" s="35" t="s">
        <v>503</v>
      </c>
      <c r="E98" s="35" t="s">
        <v>482</v>
      </c>
      <c r="F98" s="119" t="s">
        <v>210</v>
      </c>
      <c r="G98" s="45" t="s">
        <v>509</v>
      </c>
      <c r="H98" s="166">
        <v>9033.18503</v>
      </c>
      <c r="I98" s="170">
        <v>6109.83093</v>
      </c>
      <c r="J98" s="176">
        <f>I98/H98*100</f>
        <v>67.6376151900876</v>
      </c>
      <c r="K98" s="170"/>
      <c r="L98" s="170"/>
      <c r="M98" s="170"/>
      <c r="N98" s="170"/>
      <c r="O98" s="172"/>
      <c r="P98" s="170">
        <f t="shared" si="16"/>
        <v>9033.18503</v>
      </c>
      <c r="Q98" s="170">
        <f t="shared" si="17"/>
        <v>6109.83093</v>
      </c>
      <c r="R98" s="171">
        <f t="shared" si="18"/>
        <v>-2923.3541000000005</v>
      </c>
      <c r="S98" s="171">
        <f t="shared" si="19"/>
        <v>67.6376151900876</v>
      </c>
      <c r="T98" s="133"/>
    </row>
    <row r="99" spans="3:20" s="39" customFormat="1" ht="83.25" customHeight="1" hidden="1">
      <c r="C99" s="35" t="s">
        <v>167</v>
      </c>
      <c r="D99" s="35" t="s">
        <v>513</v>
      </c>
      <c r="E99" s="35" t="s">
        <v>482</v>
      </c>
      <c r="F99" s="119" t="s">
        <v>168</v>
      </c>
      <c r="G99" s="45" t="s">
        <v>510</v>
      </c>
      <c r="H99" s="166">
        <f>I99+L99</f>
        <v>0</v>
      </c>
      <c r="I99" s="170"/>
      <c r="J99" s="176" t="e">
        <f>I99/H99*100</f>
        <v>#DIV/0!</v>
      </c>
      <c r="K99" s="170"/>
      <c r="L99" s="170"/>
      <c r="M99" s="170"/>
      <c r="N99" s="170"/>
      <c r="O99" s="172"/>
      <c r="P99" s="170">
        <f t="shared" si="16"/>
        <v>0</v>
      </c>
      <c r="Q99" s="170">
        <f t="shared" si="17"/>
        <v>0</v>
      </c>
      <c r="R99" s="171">
        <f t="shared" si="18"/>
        <v>0</v>
      </c>
      <c r="S99" s="171" t="e">
        <f t="shared" si="19"/>
        <v>#DIV/0!</v>
      </c>
      <c r="T99" s="133"/>
    </row>
    <row r="100" spans="1:21" s="7" customFormat="1" ht="63" customHeight="1">
      <c r="A100" s="7">
        <v>2</v>
      </c>
      <c r="B100" s="7">
        <v>23</v>
      </c>
      <c r="C100" s="32" t="s">
        <v>150</v>
      </c>
      <c r="D100" s="32" t="s">
        <v>666</v>
      </c>
      <c r="E100" s="32"/>
      <c r="F100" s="115"/>
      <c r="G100" s="33" t="s">
        <v>511</v>
      </c>
      <c r="H100" s="166">
        <f>H103+H104</f>
        <v>3.1</v>
      </c>
      <c r="I100" s="166">
        <f>I103+I104</f>
        <v>0.84355</v>
      </c>
      <c r="J100" s="176">
        <f>I100/H100*100</f>
        <v>27.211290322580645</v>
      </c>
      <c r="K100" s="166"/>
      <c r="L100" s="166"/>
      <c r="M100" s="166"/>
      <c r="N100" s="166"/>
      <c r="O100" s="167"/>
      <c r="P100" s="170">
        <f t="shared" si="16"/>
        <v>3.1</v>
      </c>
      <c r="Q100" s="170">
        <f t="shared" si="17"/>
        <v>0.84355</v>
      </c>
      <c r="R100" s="171">
        <f t="shared" si="18"/>
        <v>-2.25645</v>
      </c>
      <c r="S100" s="171">
        <f t="shared" si="19"/>
        <v>27.211290322580645</v>
      </c>
      <c r="T100" s="129">
        <f>SUM(T101:T104)</f>
        <v>0</v>
      </c>
      <c r="U100" s="22"/>
    </row>
    <row r="101" spans="3:20" s="39" customFormat="1" ht="255.75" customHeight="1" hidden="1">
      <c r="C101" s="35" t="s">
        <v>61</v>
      </c>
      <c r="D101" s="35" t="s">
        <v>514</v>
      </c>
      <c r="E101" s="35" t="s">
        <v>501</v>
      </c>
      <c r="F101" s="119" t="s">
        <v>230</v>
      </c>
      <c r="G101" s="37" t="s">
        <v>521</v>
      </c>
      <c r="H101" s="166">
        <f>I101+L101</f>
        <v>0</v>
      </c>
      <c r="I101" s="170">
        <f>0.55-0.39101+0.14197-0.30096</f>
        <v>0</v>
      </c>
      <c r="J101" s="171"/>
      <c r="K101" s="170"/>
      <c r="L101" s="170"/>
      <c r="M101" s="170"/>
      <c r="N101" s="170"/>
      <c r="O101" s="172"/>
      <c r="P101" s="170">
        <f t="shared" si="16"/>
        <v>0</v>
      </c>
      <c r="Q101" s="170">
        <f t="shared" si="17"/>
        <v>0</v>
      </c>
      <c r="R101" s="171">
        <f t="shared" si="18"/>
        <v>0</v>
      </c>
      <c r="S101" s="171" t="e">
        <f t="shared" si="19"/>
        <v>#DIV/0!</v>
      </c>
      <c r="T101" s="133"/>
    </row>
    <row r="102" spans="3:20" s="46" customFormat="1" ht="33.75" customHeight="1" hidden="1">
      <c r="C102" s="35" t="s">
        <v>515</v>
      </c>
      <c r="D102" s="47" t="s">
        <v>516</v>
      </c>
      <c r="E102" s="47" t="s">
        <v>501</v>
      </c>
      <c r="F102" s="119" t="s">
        <v>254</v>
      </c>
      <c r="G102" s="37" t="s">
        <v>522</v>
      </c>
      <c r="H102" s="166">
        <f>I102+L102</f>
        <v>0</v>
      </c>
      <c r="I102" s="184"/>
      <c r="J102" s="185"/>
      <c r="K102" s="186"/>
      <c r="L102" s="186"/>
      <c r="M102" s="170"/>
      <c r="N102" s="170"/>
      <c r="O102" s="172"/>
      <c r="P102" s="170">
        <f t="shared" si="16"/>
        <v>0</v>
      </c>
      <c r="Q102" s="170">
        <f t="shared" si="17"/>
        <v>0</v>
      </c>
      <c r="R102" s="171">
        <f t="shared" si="18"/>
        <v>0</v>
      </c>
      <c r="S102" s="171" t="e">
        <f t="shared" si="19"/>
        <v>#DIV/0!</v>
      </c>
      <c r="T102" s="139"/>
    </row>
    <row r="103" spans="3:20" s="39" customFormat="1" ht="117.75" customHeight="1">
      <c r="C103" s="35" t="s">
        <v>65</v>
      </c>
      <c r="D103" s="35" t="s">
        <v>517</v>
      </c>
      <c r="E103" s="35" t="s">
        <v>477</v>
      </c>
      <c r="F103" s="119" t="s">
        <v>255</v>
      </c>
      <c r="G103" s="37" t="s">
        <v>512</v>
      </c>
      <c r="H103" s="166">
        <v>1</v>
      </c>
      <c r="I103" s="170">
        <v>0</v>
      </c>
      <c r="J103" s="176">
        <f aca="true" t="shared" si="20" ref="J103:J169">I103/H103*100</f>
        <v>0</v>
      </c>
      <c r="K103" s="170"/>
      <c r="L103" s="170"/>
      <c r="M103" s="170"/>
      <c r="N103" s="170"/>
      <c r="O103" s="172"/>
      <c r="P103" s="170">
        <f t="shared" si="16"/>
        <v>1</v>
      </c>
      <c r="Q103" s="170">
        <f t="shared" si="17"/>
        <v>0</v>
      </c>
      <c r="R103" s="171">
        <f t="shared" si="18"/>
        <v>-1</v>
      </c>
      <c r="S103" s="171">
        <f t="shared" si="19"/>
        <v>0</v>
      </c>
      <c r="T103" s="133"/>
    </row>
    <row r="104" spans="3:20" s="46" customFormat="1" ht="78.75" customHeight="1">
      <c r="C104" s="35" t="s">
        <v>82</v>
      </c>
      <c r="D104" s="35" t="s">
        <v>519</v>
      </c>
      <c r="E104" s="35" t="s">
        <v>482</v>
      </c>
      <c r="F104" s="119" t="s">
        <v>283</v>
      </c>
      <c r="G104" s="45" t="s">
        <v>518</v>
      </c>
      <c r="H104" s="166">
        <v>2.1</v>
      </c>
      <c r="I104" s="170">
        <v>0.84355</v>
      </c>
      <c r="J104" s="176">
        <f t="shared" si="20"/>
        <v>40.16904761904762</v>
      </c>
      <c r="K104" s="170"/>
      <c r="L104" s="170"/>
      <c r="M104" s="170"/>
      <c r="N104" s="170"/>
      <c r="O104" s="172"/>
      <c r="P104" s="170">
        <f t="shared" si="16"/>
        <v>2.1</v>
      </c>
      <c r="Q104" s="170">
        <f t="shared" si="17"/>
        <v>0.84355</v>
      </c>
      <c r="R104" s="171">
        <f t="shared" si="18"/>
        <v>-1.25645</v>
      </c>
      <c r="S104" s="171">
        <f t="shared" si="19"/>
        <v>40.16904761904762</v>
      </c>
      <c r="T104" s="133"/>
    </row>
    <row r="105" spans="1:21" s="68" customFormat="1" ht="204" customHeight="1">
      <c r="A105" s="68">
        <v>3</v>
      </c>
      <c r="B105" s="78">
        <v>24</v>
      </c>
      <c r="C105" s="32" t="s">
        <v>153</v>
      </c>
      <c r="D105" s="32" t="s">
        <v>520</v>
      </c>
      <c r="E105" s="32" t="s">
        <v>501</v>
      </c>
      <c r="F105" s="115"/>
      <c r="G105" s="33" t="s">
        <v>523</v>
      </c>
      <c r="H105" s="166">
        <f>H108+H112+H114+H106+H110</f>
        <v>1735.06165</v>
      </c>
      <c r="I105" s="166">
        <f>I108+I112+I114+I106+I110</f>
        <v>599.27571</v>
      </c>
      <c r="J105" s="176">
        <f t="shared" si="20"/>
        <v>34.53915945868552</v>
      </c>
      <c r="K105" s="166"/>
      <c r="L105" s="166"/>
      <c r="M105" s="166"/>
      <c r="N105" s="166"/>
      <c r="O105" s="167"/>
      <c r="P105" s="170">
        <f t="shared" si="16"/>
        <v>1735.06165</v>
      </c>
      <c r="Q105" s="170">
        <f t="shared" si="17"/>
        <v>599.27571</v>
      </c>
      <c r="R105" s="171">
        <f t="shared" si="18"/>
        <v>-1135.7859400000002</v>
      </c>
      <c r="S105" s="171">
        <f t="shared" si="19"/>
        <v>34.53915945868552</v>
      </c>
      <c r="T105" s="14">
        <f>T108+T112+T114+T106</f>
        <v>0</v>
      </c>
      <c r="U105" s="22"/>
    </row>
    <row r="106" spans="2:21" s="46" customFormat="1" ht="259.5" customHeight="1">
      <c r="B106" s="152"/>
      <c r="C106" s="35" t="s">
        <v>701</v>
      </c>
      <c r="D106" s="35" t="s">
        <v>702</v>
      </c>
      <c r="E106" s="35" t="s">
        <v>501</v>
      </c>
      <c r="F106" s="119"/>
      <c r="G106" s="45" t="s">
        <v>700</v>
      </c>
      <c r="H106" s="170">
        <f>H107</f>
        <v>75</v>
      </c>
      <c r="I106" s="170">
        <f>I107</f>
        <v>0</v>
      </c>
      <c r="J106" s="176">
        <f t="shared" si="20"/>
        <v>0</v>
      </c>
      <c r="K106" s="170"/>
      <c r="L106" s="170"/>
      <c r="M106" s="170"/>
      <c r="N106" s="170"/>
      <c r="O106" s="171"/>
      <c r="P106" s="170">
        <f t="shared" si="16"/>
        <v>75</v>
      </c>
      <c r="Q106" s="170">
        <f t="shared" si="17"/>
        <v>0</v>
      </c>
      <c r="R106" s="171">
        <f t="shared" si="18"/>
        <v>-75</v>
      </c>
      <c r="S106" s="171">
        <f t="shared" si="19"/>
        <v>0</v>
      </c>
      <c r="T106" s="38">
        <f>T107</f>
        <v>0</v>
      </c>
      <c r="U106" s="54"/>
    </row>
    <row r="107" spans="2:21" s="68" customFormat="1" ht="40.5" customHeight="1">
      <c r="B107" s="78"/>
      <c r="C107" s="32"/>
      <c r="D107" s="32"/>
      <c r="E107" s="32"/>
      <c r="F107" s="115"/>
      <c r="G107" s="37" t="s">
        <v>525</v>
      </c>
      <c r="H107" s="170">
        <v>75</v>
      </c>
      <c r="I107" s="187">
        <v>0</v>
      </c>
      <c r="J107" s="176">
        <f t="shared" si="20"/>
        <v>0</v>
      </c>
      <c r="K107" s="170"/>
      <c r="L107" s="170"/>
      <c r="M107" s="170"/>
      <c r="N107" s="170"/>
      <c r="O107" s="172"/>
      <c r="P107" s="170">
        <f t="shared" si="16"/>
        <v>75</v>
      </c>
      <c r="Q107" s="170">
        <f t="shared" si="17"/>
        <v>0</v>
      </c>
      <c r="R107" s="171">
        <f t="shared" si="18"/>
        <v>-75</v>
      </c>
      <c r="S107" s="171">
        <f t="shared" si="19"/>
        <v>0</v>
      </c>
      <c r="T107" s="133"/>
      <c r="U107" s="22"/>
    </row>
    <row r="108" spans="2:21" s="46" customFormat="1" ht="101.25" customHeight="1">
      <c r="B108" s="152"/>
      <c r="C108" s="35" t="s">
        <v>668</v>
      </c>
      <c r="D108" s="35" t="s">
        <v>669</v>
      </c>
      <c r="E108" s="35" t="s">
        <v>477</v>
      </c>
      <c r="F108" s="119"/>
      <c r="G108" s="45" t="s">
        <v>705</v>
      </c>
      <c r="H108" s="170">
        <f>H109</f>
        <v>36</v>
      </c>
      <c r="I108" s="170">
        <f>I109</f>
        <v>6.80664</v>
      </c>
      <c r="J108" s="176">
        <f t="shared" si="20"/>
        <v>18.90733333333333</v>
      </c>
      <c r="K108" s="170"/>
      <c r="L108" s="170"/>
      <c r="M108" s="170"/>
      <c r="N108" s="170"/>
      <c r="O108" s="171"/>
      <c r="P108" s="170">
        <f t="shared" si="16"/>
        <v>36</v>
      </c>
      <c r="Q108" s="170">
        <f t="shared" si="17"/>
        <v>6.80664</v>
      </c>
      <c r="R108" s="171">
        <f t="shared" si="18"/>
        <v>-29.19336</v>
      </c>
      <c r="S108" s="171">
        <f t="shared" si="19"/>
        <v>18.90733333333333</v>
      </c>
      <c r="T108" s="38">
        <f>T109</f>
        <v>0</v>
      </c>
      <c r="U108" s="54"/>
    </row>
    <row r="109" spans="2:21" s="46" customFormat="1" ht="37.5" customHeight="1">
      <c r="B109" s="152"/>
      <c r="C109" s="35"/>
      <c r="D109" s="35"/>
      <c r="E109" s="35"/>
      <c r="F109" s="119"/>
      <c r="G109" s="45" t="s">
        <v>525</v>
      </c>
      <c r="H109" s="170">
        <v>36</v>
      </c>
      <c r="I109" s="187">
        <v>6.80664</v>
      </c>
      <c r="J109" s="176">
        <f t="shared" si="20"/>
        <v>18.90733333333333</v>
      </c>
      <c r="K109" s="170"/>
      <c r="L109" s="170"/>
      <c r="M109" s="170"/>
      <c r="N109" s="170"/>
      <c r="O109" s="172"/>
      <c r="P109" s="170">
        <f t="shared" si="16"/>
        <v>36</v>
      </c>
      <c r="Q109" s="170">
        <f t="shared" si="17"/>
        <v>6.80664</v>
      </c>
      <c r="R109" s="171">
        <f t="shared" si="18"/>
        <v>-29.19336</v>
      </c>
      <c r="S109" s="171">
        <f t="shared" si="19"/>
        <v>18.90733333333333</v>
      </c>
      <c r="T109" s="133"/>
      <c r="U109" s="54"/>
    </row>
    <row r="110" spans="2:21" s="46" customFormat="1" ht="42.75" customHeight="1">
      <c r="B110" s="152"/>
      <c r="C110" s="35" t="s">
        <v>703</v>
      </c>
      <c r="D110" s="35" t="s">
        <v>704</v>
      </c>
      <c r="E110" s="35" t="s">
        <v>477</v>
      </c>
      <c r="F110" s="119"/>
      <c r="G110" s="45" t="s">
        <v>706</v>
      </c>
      <c r="H110" s="170">
        <f>H111</f>
        <v>244.06165</v>
      </c>
      <c r="I110" s="170">
        <f>I111</f>
        <v>173.09276</v>
      </c>
      <c r="J110" s="176">
        <f t="shared" si="20"/>
        <v>70.92173637275664</v>
      </c>
      <c r="K110" s="170"/>
      <c r="L110" s="170"/>
      <c r="M110" s="170"/>
      <c r="N110" s="170"/>
      <c r="O110" s="171"/>
      <c r="P110" s="170">
        <f t="shared" si="16"/>
        <v>244.06165</v>
      </c>
      <c r="Q110" s="170">
        <f t="shared" si="17"/>
        <v>173.09276</v>
      </c>
      <c r="R110" s="171">
        <f t="shared" si="18"/>
        <v>-70.96888999999999</v>
      </c>
      <c r="S110" s="171">
        <f t="shared" si="19"/>
        <v>70.92173637275664</v>
      </c>
      <c r="T110" s="38">
        <f>T111</f>
        <v>0</v>
      </c>
      <c r="U110" s="54"/>
    </row>
    <row r="111" spans="2:21" s="46" customFormat="1" ht="42.75" customHeight="1">
      <c r="B111" s="152"/>
      <c r="C111" s="35"/>
      <c r="D111" s="35"/>
      <c r="E111" s="35"/>
      <c r="F111" s="119"/>
      <c r="G111" s="45" t="s">
        <v>525</v>
      </c>
      <c r="H111" s="170">
        <v>244.06165</v>
      </c>
      <c r="I111" s="187">
        <v>173.09276</v>
      </c>
      <c r="J111" s="176">
        <f t="shared" si="20"/>
        <v>70.92173637275664</v>
      </c>
      <c r="K111" s="170"/>
      <c r="L111" s="170"/>
      <c r="M111" s="170"/>
      <c r="N111" s="170"/>
      <c r="O111" s="172"/>
      <c r="P111" s="170">
        <f t="shared" si="16"/>
        <v>244.06165</v>
      </c>
      <c r="Q111" s="170">
        <f t="shared" si="17"/>
        <v>173.09276</v>
      </c>
      <c r="R111" s="171">
        <f t="shared" si="18"/>
        <v>-70.96888999999999</v>
      </c>
      <c r="S111" s="171">
        <f t="shared" si="19"/>
        <v>70.92173637275664</v>
      </c>
      <c r="T111" s="133"/>
      <c r="U111" s="54"/>
    </row>
    <row r="112" spans="3:20" s="39" customFormat="1" ht="60.75" customHeight="1">
      <c r="C112" s="35" t="s">
        <v>101</v>
      </c>
      <c r="D112" s="35" t="s">
        <v>524</v>
      </c>
      <c r="E112" s="35" t="s">
        <v>477</v>
      </c>
      <c r="F112" s="119" t="s">
        <v>209</v>
      </c>
      <c r="G112" s="37" t="s">
        <v>707</v>
      </c>
      <c r="H112" s="170">
        <f>H113</f>
        <v>1350</v>
      </c>
      <c r="I112" s="170">
        <f>I113</f>
        <v>400.36631</v>
      </c>
      <c r="J112" s="176">
        <f t="shared" si="20"/>
        <v>29.656763703703703</v>
      </c>
      <c r="K112" s="170"/>
      <c r="L112" s="170"/>
      <c r="M112" s="170"/>
      <c r="N112" s="170"/>
      <c r="O112" s="171"/>
      <c r="P112" s="170">
        <f t="shared" si="16"/>
        <v>1350</v>
      </c>
      <c r="Q112" s="170">
        <f t="shared" si="17"/>
        <v>400.36631</v>
      </c>
      <c r="R112" s="171">
        <f t="shared" si="18"/>
        <v>-949.63369</v>
      </c>
      <c r="S112" s="171">
        <f t="shared" si="19"/>
        <v>29.656763703703703</v>
      </c>
      <c r="T112" s="133">
        <f>SUM(T113:T113)</f>
        <v>0</v>
      </c>
    </row>
    <row r="113" spans="3:20" s="39" customFormat="1" ht="40.5" customHeight="1">
      <c r="C113" s="35"/>
      <c r="D113" s="35"/>
      <c r="E113" s="35"/>
      <c r="F113" s="119"/>
      <c r="G113" s="45" t="s">
        <v>525</v>
      </c>
      <c r="H113" s="170">
        <v>1350</v>
      </c>
      <c r="I113" s="187">
        <v>400.36631</v>
      </c>
      <c r="J113" s="176">
        <f t="shared" si="20"/>
        <v>29.656763703703703</v>
      </c>
      <c r="K113" s="170"/>
      <c r="L113" s="170"/>
      <c r="M113" s="170"/>
      <c r="N113" s="170"/>
      <c r="O113" s="172"/>
      <c r="P113" s="170">
        <f t="shared" si="16"/>
        <v>1350</v>
      </c>
      <c r="Q113" s="170">
        <f t="shared" si="17"/>
        <v>400.36631</v>
      </c>
      <c r="R113" s="171">
        <f t="shared" si="18"/>
        <v>-949.63369</v>
      </c>
      <c r="S113" s="171">
        <f t="shared" si="19"/>
        <v>29.656763703703703</v>
      </c>
      <c r="T113" s="133"/>
    </row>
    <row r="114" spans="3:20" s="39" customFormat="1" ht="46.5" customHeight="1">
      <c r="C114" s="35" t="s">
        <v>102</v>
      </c>
      <c r="D114" s="35" t="s">
        <v>526</v>
      </c>
      <c r="E114" s="35" t="s">
        <v>477</v>
      </c>
      <c r="F114" s="119" t="s">
        <v>250</v>
      </c>
      <c r="G114" s="37" t="s">
        <v>664</v>
      </c>
      <c r="H114" s="170">
        <f>H115</f>
        <v>30</v>
      </c>
      <c r="I114" s="170">
        <f>I115</f>
        <v>19.01</v>
      </c>
      <c r="J114" s="176">
        <f t="shared" si="20"/>
        <v>63.366666666666674</v>
      </c>
      <c r="K114" s="170"/>
      <c r="L114" s="170"/>
      <c r="M114" s="170"/>
      <c r="N114" s="170"/>
      <c r="O114" s="171"/>
      <c r="P114" s="170">
        <f t="shared" si="16"/>
        <v>30</v>
      </c>
      <c r="Q114" s="170">
        <f t="shared" si="17"/>
        <v>19.01</v>
      </c>
      <c r="R114" s="171">
        <f t="shared" si="18"/>
        <v>-10.989999999999998</v>
      </c>
      <c r="S114" s="171">
        <f t="shared" si="19"/>
        <v>63.366666666666674</v>
      </c>
      <c r="T114" s="38">
        <f>T115</f>
        <v>0</v>
      </c>
    </row>
    <row r="115" spans="3:20" s="39" customFormat="1" ht="42" customHeight="1">
      <c r="C115" s="35"/>
      <c r="D115" s="35"/>
      <c r="E115" s="35"/>
      <c r="F115" s="119"/>
      <c r="G115" s="45" t="s">
        <v>525</v>
      </c>
      <c r="H115" s="170">
        <v>30</v>
      </c>
      <c r="I115" s="187">
        <v>19.01</v>
      </c>
      <c r="J115" s="176">
        <f t="shared" si="20"/>
        <v>63.366666666666674</v>
      </c>
      <c r="K115" s="170"/>
      <c r="L115" s="170"/>
      <c r="M115" s="170"/>
      <c r="N115" s="170"/>
      <c r="O115" s="172"/>
      <c r="P115" s="170">
        <f t="shared" si="16"/>
        <v>30</v>
      </c>
      <c r="Q115" s="170">
        <f t="shared" si="17"/>
        <v>19.01</v>
      </c>
      <c r="R115" s="171">
        <f t="shared" si="18"/>
        <v>-10.989999999999998</v>
      </c>
      <c r="S115" s="171">
        <f t="shared" si="19"/>
        <v>63.366666666666674</v>
      </c>
      <c r="T115" s="133"/>
    </row>
    <row r="116" spans="1:21" s="7" customFormat="1" ht="73.5" customHeight="1">
      <c r="A116" s="7">
        <v>4</v>
      </c>
      <c r="B116" s="7">
        <v>25</v>
      </c>
      <c r="C116" s="32" t="s">
        <v>154</v>
      </c>
      <c r="D116" s="32" t="s">
        <v>527</v>
      </c>
      <c r="E116" s="32" t="s">
        <v>480</v>
      </c>
      <c r="F116" s="115"/>
      <c r="G116" s="43" t="s">
        <v>529</v>
      </c>
      <c r="H116" s="166">
        <f>SUM(H117:H125)</f>
        <v>40058.7</v>
      </c>
      <c r="I116" s="166">
        <f>SUM(I117:I125)</f>
        <v>18987.5739</v>
      </c>
      <c r="J116" s="176">
        <f t="shared" si="20"/>
        <v>47.399376165477165</v>
      </c>
      <c r="K116" s="166"/>
      <c r="L116" s="166"/>
      <c r="M116" s="166"/>
      <c r="N116" s="166"/>
      <c r="O116" s="167"/>
      <c r="P116" s="170">
        <f t="shared" si="16"/>
        <v>40058.7</v>
      </c>
      <c r="Q116" s="170">
        <f t="shared" si="17"/>
        <v>18987.5739</v>
      </c>
      <c r="R116" s="171">
        <f t="shared" si="18"/>
        <v>-21071.126099999998</v>
      </c>
      <c r="S116" s="171">
        <f t="shared" si="19"/>
        <v>47.399376165477165</v>
      </c>
      <c r="T116" s="129">
        <f>SUM(T117:T125)</f>
        <v>0</v>
      </c>
      <c r="U116" s="22"/>
    </row>
    <row r="117" spans="3:20" s="39" customFormat="1" ht="39" customHeight="1">
      <c r="C117" s="35" t="s">
        <v>72</v>
      </c>
      <c r="D117" s="35" t="s">
        <v>531</v>
      </c>
      <c r="E117" s="35" t="s">
        <v>480</v>
      </c>
      <c r="F117" s="119" t="s">
        <v>232</v>
      </c>
      <c r="G117" s="45" t="s">
        <v>528</v>
      </c>
      <c r="H117" s="170">
        <v>500</v>
      </c>
      <c r="I117" s="170">
        <v>208.64404</v>
      </c>
      <c r="J117" s="176">
        <f t="shared" si="20"/>
        <v>41.728808</v>
      </c>
      <c r="K117" s="170"/>
      <c r="L117" s="170"/>
      <c r="M117" s="170"/>
      <c r="N117" s="170"/>
      <c r="O117" s="172"/>
      <c r="P117" s="170">
        <f t="shared" si="16"/>
        <v>500</v>
      </c>
      <c r="Q117" s="170">
        <f t="shared" si="17"/>
        <v>208.64404</v>
      </c>
      <c r="R117" s="171">
        <f t="shared" si="18"/>
        <v>-291.35596</v>
      </c>
      <c r="S117" s="171">
        <f t="shared" si="19"/>
        <v>41.728808</v>
      </c>
      <c r="T117" s="133"/>
    </row>
    <row r="118" spans="3:20" s="39" customFormat="1" ht="42.75" customHeight="1">
      <c r="C118" s="35" t="s">
        <v>73</v>
      </c>
      <c r="D118" s="35" t="s">
        <v>532</v>
      </c>
      <c r="E118" s="35" t="s">
        <v>480</v>
      </c>
      <c r="F118" s="119" t="s">
        <v>233</v>
      </c>
      <c r="G118" s="45" t="s">
        <v>660</v>
      </c>
      <c r="H118" s="170">
        <v>210</v>
      </c>
      <c r="I118" s="170">
        <v>23.51587</v>
      </c>
      <c r="J118" s="176">
        <f t="shared" si="20"/>
        <v>11.198033333333333</v>
      </c>
      <c r="K118" s="170"/>
      <c r="L118" s="170"/>
      <c r="M118" s="170"/>
      <c r="N118" s="170"/>
      <c r="O118" s="172"/>
      <c r="P118" s="170">
        <f t="shared" si="16"/>
        <v>210</v>
      </c>
      <c r="Q118" s="170">
        <f t="shared" si="17"/>
        <v>23.51587</v>
      </c>
      <c r="R118" s="171">
        <f t="shared" si="18"/>
        <v>-186.48413</v>
      </c>
      <c r="S118" s="171">
        <f t="shared" si="19"/>
        <v>11.198033333333333</v>
      </c>
      <c r="T118" s="133"/>
    </row>
    <row r="119" spans="3:20" s="39" customFormat="1" ht="42.75" customHeight="1">
      <c r="C119" s="35" t="s">
        <v>74</v>
      </c>
      <c r="D119" s="35" t="s">
        <v>533</v>
      </c>
      <c r="E119" s="35" t="s">
        <v>480</v>
      </c>
      <c r="F119" s="119" t="s">
        <v>234</v>
      </c>
      <c r="G119" s="45" t="s">
        <v>530</v>
      </c>
      <c r="H119" s="170">
        <f>21000-70.56965</f>
        <v>20929.43035</v>
      </c>
      <c r="I119" s="170">
        <v>9896.83454</v>
      </c>
      <c r="J119" s="176">
        <f t="shared" si="20"/>
        <v>47.286688526618214</v>
      </c>
      <c r="K119" s="170"/>
      <c r="L119" s="170"/>
      <c r="M119" s="170"/>
      <c r="N119" s="170"/>
      <c r="O119" s="172"/>
      <c r="P119" s="170">
        <f t="shared" si="16"/>
        <v>20929.43035</v>
      </c>
      <c r="Q119" s="170">
        <f t="shared" si="17"/>
        <v>9896.83454</v>
      </c>
      <c r="R119" s="171">
        <f t="shared" si="18"/>
        <v>-11032.595809999999</v>
      </c>
      <c r="S119" s="171">
        <f t="shared" si="19"/>
        <v>47.286688526618214</v>
      </c>
      <c r="T119" s="133"/>
    </row>
    <row r="120" spans="3:20" s="39" customFormat="1" ht="45" customHeight="1">
      <c r="C120" s="35" t="s">
        <v>75</v>
      </c>
      <c r="D120" s="35" t="s">
        <v>534</v>
      </c>
      <c r="E120" s="35" t="s">
        <v>480</v>
      </c>
      <c r="F120" s="119" t="s">
        <v>235</v>
      </c>
      <c r="G120" s="45" t="s">
        <v>541</v>
      </c>
      <c r="H120" s="170">
        <f>2900+23.772</f>
        <v>2923.772</v>
      </c>
      <c r="I120" s="170">
        <v>1347.84794</v>
      </c>
      <c r="J120" s="176">
        <f t="shared" si="20"/>
        <v>46.099625415388076</v>
      </c>
      <c r="K120" s="170"/>
      <c r="L120" s="170"/>
      <c r="M120" s="170"/>
      <c r="N120" s="170"/>
      <c r="O120" s="172"/>
      <c r="P120" s="170">
        <f t="shared" si="16"/>
        <v>2923.772</v>
      </c>
      <c r="Q120" s="170">
        <f t="shared" si="17"/>
        <v>1347.84794</v>
      </c>
      <c r="R120" s="171">
        <f t="shared" si="18"/>
        <v>-1575.9240599999998</v>
      </c>
      <c r="S120" s="171">
        <f t="shared" si="19"/>
        <v>46.099625415388076</v>
      </c>
      <c r="T120" s="133"/>
    </row>
    <row r="121" spans="3:20" s="39" customFormat="1" ht="51.75" customHeight="1">
      <c r="C121" s="35" t="s">
        <v>76</v>
      </c>
      <c r="D121" s="35" t="s">
        <v>535</v>
      </c>
      <c r="E121" s="35" t="s">
        <v>480</v>
      </c>
      <c r="F121" s="119" t="s">
        <v>236</v>
      </c>
      <c r="G121" s="45" t="s">
        <v>77</v>
      </c>
      <c r="H121" s="170">
        <f>4000+43.37673</f>
        <v>4043.37673</v>
      </c>
      <c r="I121" s="170">
        <v>1885.96416</v>
      </c>
      <c r="J121" s="176">
        <f t="shared" si="20"/>
        <v>46.64329559021823</v>
      </c>
      <c r="K121" s="170"/>
      <c r="L121" s="170"/>
      <c r="M121" s="170"/>
      <c r="N121" s="170"/>
      <c r="O121" s="172"/>
      <c r="P121" s="170">
        <f t="shared" si="16"/>
        <v>4043.37673</v>
      </c>
      <c r="Q121" s="170">
        <f t="shared" si="17"/>
        <v>1885.96416</v>
      </c>
      <c r="R121" s="171">
        <f t="shared" si="18"/>
        <v>-2157.41257</v>
      </c>
      <c r="S121" s="171">
        <f t="shared" si="19"/>
        <v>46.64329559021823</v>
      </c>
      <c r="T121" s="133"/>
    </row>
    <row r="122" spans="3:20" s="39" customFormat="1" ht="55.5" customHeight="1">
      <c r="C122" s="35" t="s">
        <v>78</v>
      </c>
      <c r="D122" s="35" t="s">
        <v>536</v>
      </c>
      <c r="E122" s="35" t="s">
        <v>480</v>
      </c>
      <c r="F122" s="119" t="s">
        <v>256</v>
      </c>
      <c r="G122" s="45" t="s">
        <v>542</v>
      </c>
      <c r="H122" s="170">
        <f>600+3.42092</f>
        <v>603.42092</v>
      </c>
      <c r="I122" s="170">
        <v>72.16329</v>
      </c>
      <c r="J122" s="176">
        <f t="shared" si="20"/>
        <v>11.959030190733195</v>
      </c>
      <c r="K122" s="170"/>
      <c r="L122" s="170"/>
      <c r="M122" s="170"/>
      <c r="N122" s="170"/>
      <c r="O122" s="172"/>
      <c r="P122" s="170">
        <f t="shared" si="16"/>
        <v>603.42092</v>
      </c>
      <c r="Q122" s="170">
        <f t="shared" si="17"/>
        <v>72.16329</v>
      </c>
      <c r="R122" s="171">
        <f t="shared" si="18"/>
        <v>-531.2576300000001</v>
      </c>
      <c r="S122" s="171">
        <f t="shared" si="19"/>
        <v>11.959030190733195</v>
      </c>
      <c r="T122" s="133"/>
    </row>
    <row r="123" spans="3:20" s="39" customFormat="1" ht="52.5" customHeight="1">
      <c r="C123" s="35" t="s">
        <v>79</v>
      </c>
      <c r="D123" s="35" t="s">
        <v>537</v>
      </c>
      <c r="E123" s="35" t="s">
        <v>480</v>
      </c>
      <c r="F123" s="119" t="s">
        <v>46</v>
      </c>
      <c r="G123" s="45" t="s">
        <v>543</v>
      </c>
      <c r="H123" s="170">
        <v>300</v>
      </c>
      <c r="I123" s="187">
        <v>46.44</v>
      </c>
      <c r="J123" s="176">
        <f t="shared" si="20"/>
        <v>15.479999999999999</v>
      </c>
      <c r="K123" s="170"/>
      <c r="L123" s="170"/>
      <c r="M123" s="170"/>
      <c r="N123" s="170"/>
      <c r="O123" s="172"/>
      <c r="P123" s="170">
        <f t="shared" si="16"/>
        <v>300</v>
      </c>
      <c r="Q123" s="170">
        <f t="shared" si="17"/>
        <v>46.44</v>
      </c>
      <c r="R123" s="171">
        <f t="shared" si="18"/>
        <v>-253.56</v>
      </c>
      <c r="S123" s="171">
        <f t="shared" si="19"/>
        <v>15.479999999999999</v>
      </c>
      <c r="T123" s="133"/>
    </row>
    <row r="124" spans="3:20" s="39" customFormat="1" ht="69" customHeight="1">
      <c r="C124" s="35" t="s">
        <v>80</v>
      </c>
      <c r="D124" s="35" t="s">
        <v>538</v>
      </c>
      <c r="E124" s="35" t="s">
        <v>480</v>
      </c>
      <c r="F124" s="119" t="s">
        <v>211</v>
      </c>
      <c r="G124" s="45" t="s">
        <v>544</v>
      </c>
      <c r="H124" s="170">
        <v>5700</v>
      </c>
      <c r="I124" s="170">
        <v>3004.98766</v>
      </c>
      <c r="J124" s="176">
        <f t="shared" si="20"/>
        <v>52.71908175438597</v>
      </c>
      <c r="K124" s="170"/>
      <c r="L124" s="170"/>
      <c r="M124" s="170"/>
      <c r="N124" s="170"/>
      <c r="O124" s="172"/>
      <c r="P124" s="170">
        <f t="shared" si="16"/>
        <v>5700</v>
      </c>
      <c r="Q124" s="170">
        <f t="shared" si="17"/>
        <v>3004.98766</v>
      </c>
      <c r="R124" s="171">
        <f t="shared" si="18"/>
        <v>-2695.01234</v>
      </c>
      <c r="S124" s="171">
        <f t="shared" si="19"/>
        <v>52.71908175438597</v>
      </c>
      <c r="T124" s="133"/>
    </row>
    <row r="125" spans="3:20" s="39" customFormat="1" ht="69" customHeight="1">
      <c r="C125" s="35" t="s">
        <v>98</v>
      </c>
      <c r="D125" s="35" t="s">
        <v>539</v>
      </c>
      <c r="E125" s="35" t="s">
        <v>458</v>
      </c>
      <c r="F125" s="119" t="s">
        <v>219</v>
      </c>
      <c r="G125" s="45" t="s">
        <v>545</v>
      </c>
      <c r="H125" s="170">
        <v>4848.7</v>
      </c>
      <c r="I125" s="170">
        <v>2501.1764</v>
      </c>
      <c r="J125" s="176">
        <f t="shared" si="20"/>
        <v>51.58447418895786</v>
      </c>
      <c r="K125" s="170"/>
      <c r="L125" s="170"/>
      <c r="M125" s="170"/>
      <c r="N125" s="170"/>
      <c r="O125" s="172"/>
      <c r="P125" s="170">
        <f t="shared" si="16"/>
        <v>4848.7</v>
      </c>
      <c r="Q125" s="170">
        <f t="shared" si="17"/>
        <v>2501.1764</v>
      </c>
      <c r="R125" s="171">
        <f t="shared" si="18"/>
        <v>-2347.5236</v>
      </c>
      <c r="S125" s="171">
        <f t="shared" si="19"/>
        <v>51.58447418895786</v>
      </c>
      <c r="T125" s="133"/>
    </row>
    <row r="126" spans="1:20" s="7" customFormat="1" ht="69" customHeight="1">
      <c r="A126" s="7">
        <v>5</v>
      </c>
      <c r="B126" s="7">
        <v>26</v>
      </c>
      <c r="C126" s="32" t="s">
        <v>70</v>
      </c>
      <c r="D126" s="32" t="s">
        <v>540</v>
      </c>
      <c r="E126" s="32" t="s">
        <v>477</v>
      </c>
      <c r="F126" s="115" t="s">
        <v>264</v>
      </c>
      <c r="G126" s="43" t="s">
        <v>654</v>
      </c>
      <c r="H126" s="166">
        <v>233.7</v>
      </c>
      <c r="I126" s="166">
        <v>111.22941</v>
      </c>
      <c r="J126" s="176">
        <f t="shared" si="20"/>
        <v>47.59495507060334</v>
      </c>
      <c r="K126" s="166"/>
      <c r="L126" s="166"/>
      <c r="M126" s="166"/>
      <c r="N126" s="166"/>
      <c r="O126" s="169"/>
      <c r="P126" s="170">
        <f t="shared" si="16"/>
        <v>233.7</v>
      </c>
      <c r="Q126" s="170">
        <f t="shared" si="17"/>
        <v>111.22941</v>
      </c>
      <c r="R126" s="171">
        <f t="shared" si="18"/>
        <v>-122.47058999999999</v>
      </c>
      <c r="S126" s="171">
        <f t="shared" si="19"/>
        <v>47.59495507060334</v>
      </c>
      <c r="T126" s="129"/>
    </row>
    <row r="127" spans="1:20" s="7" customFormat="1" ht="60.75" customHeight="1">
      <c r="A127" s="7">
        <v>6</v>
      </c>
      <c r="B127" s="7">
        <v>27</v>
      </c>
      <c r="C127" s="32" t="s">
        <v>85</v>
      </c>
      <c r="D127" s="32" t="s">
        <v>546</v>
      </c>
      <c r="E127" s="32" t="s">
        <v>458</v>
      </c>
      <c r="F127" s="115" t="s">
        <v>212</v>
      </c>
      <c r="G127" s="43" t="s">
        <v>547</v>
      </c>
      <c r="H127" s="166">
        <v>350</v>
      </c>
      <c r="I127" s="166">
        <v>116.15129</v>
      </c>
      <c r="J127" s="176">
        <f t="shared" si="20"/>
        <v>33.18608285714286</v>
      </c>
      <c r="K127" s="166"/>
      <c r="L127" s="166"/>
      <c r="M127" s="166"/>
      <c r="N127" s="166"/>
      <c r="O127" s="167"/>
      <c r="P127" s="170">
        <f t="shared" si="16"/>
        <v>350</v>
      </c>
      <c r="Q127" s="170">
        <f t="shared" si="17"/>
        <v>116.15129</v>
      </c>
      <c r="R127" s="171">
        <f t="shared" si="18"/>
        <v>-233.84870999999998</v>
      </c>
      <c r="S127" s="171">
        <f t="shared" si="19"/>
        <v>33.18608285714286</v>
      </c>
      <c r="T127" s="129"/>
    </row>
    <row r="128" spans="1:20" s="7" customFormat="1" ht="48.75" customHeight="1">
      <c r="A128" s="7">
        <v>7</v>
      </c>
      <c r="B128" s="7">
        <v>28</v>
      </c>
      <c r="C128" s="32" t="s">
        <v>87</v>
      </c>
      <c r="D128" s="32" t="s">
        <v>548</v>
      </c>
      <c r="E128" s="32" t="s">
        <v>501</v>
      </c>
      <c r="F128" s="115" t="s">
        <v>251</v>
      </c>
      <c r="G128" s="33" t="s">
        <v>653</v>
      </c>
      <c r="H128" s="166">
        <v>26.4</v>
      </c>
      <c r="I128" s="166">
        <v>6.5864</v>
      </c>
      <c r="J128" s="176">
        <f t="shared" si="20"/>
        <v>24.94848484848485</v>
      </c>
      <c r="K128" s="166"/>
      <c r="L128" s="166"/>
      <c r="M128" s="166"/>
      <c r="N128" s="166"/>
      <c r="O128" s="169"/>
      <c r="P128" s="170">
        <f t="shared" si="16"/>
        <v>26.4</v>
      </c>
      <c r="Q128" s="170">
        <f t="shared" si="17"/>
        <v>6.5864</v>
      </c>
      <c r="R128" s="171">
        <f t="shared" si="18"/>
        <v>-19.813599999999997</v>
      </c>
      <c r="S128" s="171">
        <f t="shared" si="19"/>
        <v>24.94848484848485</v>
      </c>
      <c r="T128" s="129"/>
    </row>
    <row r="129" spans="1:21" s="7" customFormat="1" ht="67.5" customHeight="1">
      <c r="A129" s="7">
        <v>8</v>
      </c>
      <c r="B129" s="7">
        <v>29</v>
      </c>
      <c r="C129" s="32" t="s">
        <v>155</v>
      </c>
      <c r="D129" s="32" t="s">
        <v>665</v>
      </c>
      <c r="E129" s="32" t="s">
        <v>461</v>
      </c>
      <c r="F129" s="115"/>
      <c r="G129" s="33" t="s">
        <v>157</v>
      </c>
      <c r="H129" s="166">
        <f>H130</f>
        <v>4268.803</v>
      </c>
      <c r="I129" s="166">
        <f>I130</f>
        <v>1977.71183</v>
      </c>
      <c r="J129" s="176">
        <f t="shared" si="20"/>
        <v>46.32942372838475</v>
      </c>
      <c r="K129" s="166">
        <f>K130</f>
        <v>269.97258</v>
      </c>
      <c r="L129" s="166">
        <f>L130</f>
        <v>0</v>
      </c>
      <c r="M129" s="166">
        <f>M130</f>
        <v>250.58292</v>
      </c>
      <c r="N129" s="166">
        <f>N130</f>
        <v>46.497</v>
      </c>
      <c r="O129" s="167">
        <f>M129/K129*100</f>
        <v>92.8179150638187</v>
      </c>
      <c r="P129" s="170">
        <f t="shared" si="16"/>
        <v>4538.7755799999995</v>
      </c>
      <c r="Q129" s="170">
        <f t="shared" si="17"/>
        <v>2228.29475</v>
      </c>
      <c r="R129" s="171">
        <f t="shared" si="18"/>
        <v>-2310.4808299999995</v>
      </c>
      <c r="S129" s="171">
        <f t="shared" si="19"/>
        <v>49.09462278370679</v>
      </c>
      <c r="T129" s="129">
        <f>SUM(T130:T130)</f>
        <v>0</v>
      </c>
      <c r="U129" s="22"/>
    </row>
    <row r="130" spans="3:20" s="39" customFormat="1" ht="129" customHeight="1">
      <c r="C130" s="35" t="s">
        <v>88</v>
      </c>
      <c r="D130" s="35" t="s">
        <v>549</v>
      </c>
      <c r="E130" s="35" t="s">
        <v>461</v>
      </c>
      <c r="F130" s="119" t="s">
        <v>208</v>
      </c>
      <c r="G130" s="45" t="s">
        <v>550</v>
      </c>
      <c r="H130" s="170">
        <v>4268.803</v>
      </c>
      <c r="I130" s="170">
        <v>1977.71183</v>
      </c>
      <c r="J130" s="176">
        <f t="shared" si="20"/>
        <v>46.32942372838475</v>
      </c>
      <c r="K130" s="178">
        <v>269.97258</v>
      </c>
      <c r="L130" s="170"/>
      <c r="M130" s="181">
        <v>250.58292</v>
      </c>
      <c r="N130" s="166">
        <v>46.497</v>
      </c>
      <c r="O130" s="167">
        <f>M130/K130*100</f>
        <v>92.8179150638187</v>
      </c>
      <c r="P130" s="170">
        <f t="shared" si="16"/>
        <v>4538.7755799999995</v>
      </c>
      <c r="Q130" s="170">
        <f t="shared" si="17"/>
        <v>2228.29475</v>
      </c>
      <c r="R130" s="171">
        <f t="shared" si="18"/>
        <v>-2310.4808299999995</v>
      </c>
      <c r="S130" s="171">
        <f t="shared" si="19"/>
        <v>49.09462278370679</v>
      </c>
      <c r="T130" s="133"/>
    </row>
    <row r="131" spans="3:20" s="39" customFormat="1" ht="37.5">
      <c r="C131" s="32" t="s">
        <v>738</v>
      </c>
      <c r="D131" s="32" t="s">
        <v>478</v>
      </c>
      <c r="E131" s="32"/>
      <c r="F131" s="115"/>
      <c r="G131" s="43" t="s">
        <v>186</v>
      </c>
      <c r="H131" s="170">
        <f>H132+H133</f>
        <v>790.09395</v>
      </c>
      <c r="I131" s="170">
        <f>I132+I133</f>
        <v>195.78061</v>
      </c>
      <c r="J131" s="176">
        <f t="shared" si="20"/>
        <v>24.779408828532354</v>
      </c>
      <c r="K131" s="178"/>
      <c r="L131" s="170"/>
      <c r="M131" s="181"/>
      <c r="N131" s="166"/>
      <c r="O131" s="167"/>
      <c r="P131" s="170">
        <f t="shared" si="16"/>
        <v>790.09395</v>
      </c>
      <c r="Q131" s="170">
        <f t="shared" si="17"/>
        <v>195.78061</v>
      </c>
      <c r="R131" s="171">
        <f t="shared" si="18"/>
        <v>-594.3133399999999</v>
      </c>
      <c r="S131" s="171">
        <f t="shared" si="19"/>
        <v>24.779408828532354</v>
      </c>
      <c r="T131" s="133"/>
    </row>
    <row r="132" spans="3:20" s="39" customFormat="1" ht="37.5">
      <c r="C132" s="35" t="s">
        <v>739</v>
      </c>
      <c r="D132" s="35" t="s">
        <v>479</v>
      </c>
      <c r="E132" s="35" t="s">
        <v>480</v>
      </c>
      <c r="F132" s="119" t="s">
        <v>50</v>
      </c>
      <c r="G132" s="45" t="s">
        <v>113</v>
      </c>
      <c r="H132" s="170">
        <v>781.58688</v>
      </c>
      <c r="I132" s="170">
        <v>191.89834</v>
      </c>
      <c r="J132" s="176">
        <f t="shared" si="20"/>
        <v>24.55240036782603</v>
      </c>
      <c r="K132" s="178"/>
      <c r="L132" s="170"/>
      <c r="M132" s="181"/>
      <c r="N132" s="166"/>
      <c r="O132" s="167"/>
      <c r="P132" s="170">
        <f aca="true" t="shared" si="21" ref="P132:P162">H132+K132</f>
        <v>781.58688</v>
      </c>
      <c r="Q132" s="170">
        <f aca="true" t="shared" si="22" ref="Q132:Q162">I132+M132</f>
        <v>191.89834</v>
      </c>
      <c r="R132" s="171">
        <f aca="true" t="shared" si="23" ref="R132:R162">Q132-P132</f>
        <v>-589.68854</v>
      </c>
      <c r="S132" s="171">
        <f aca="true" t="shared" si="24" ref="S132:S162">Q132/P132*100</f>
        <v>24.55240036782603</v>
      </c>
      <c r="T132" s="133"/>
    </row>
    <row r="133" spans="3:20" s="39" customFormat="1" ht="75">
      <c r="C133" s="35" t="s">
        <v>740</v>
      </c>
      <c r="D133" s="35" t="s">
        <v>481</v>
      </c>
      <c r="E133" s="35" t="s">
        <v>480</v>
      </c>
      <c r="F133" s="119" t="s">
        <v>29</v>
      </c>
      <c r="G133" s="45" t="s">
        <v>346</v>
      </c>
      <c r="H133" s="170">
        <v>8.50707</v>
      </c>
      <c r="I133" s="170">
        <v>3.88227</v>
      </c>
      <c r="J133" s="176">
        <f t="shared" si="20"/>
        <v>45.63580645275048</v>
      </c>
      <c r="K133" s="178"/>
      <c r="L133" s="170"/>
      <c r="M133" s="181"/>
      <c r="N133" s="166"/>
      <c r="O133" s="167"/>
      <c r="P133" s="170">
        <f t="shared" si="21"/>
        <v>8.50707</v>
      </c>
      <c r="Q133" s="170">
        <f t="shared" si="22"/>
        <v>3.88227</v>
      </c>
      <c r="R133" s="171">
        <f t="shared" si="23"/>
        <v>-4.6248000000000005</v>
      </c>
      <c r="S133" s="171">
        <f t="shared" si="24"/>
        <v>45.63580645275048</v>
      </c>
      <c r="T133" s="133"/>
    </row>
    <row r="134" spans="1:21" s="18" customFormat="1" ht="92.25" customHeight="1">
      <c r="A134" s="18">
        <v>9</v>
      </c>
      <c r="B134" s="18">
        <v>30</v>
      </c>
      <c r="C134" s="32" t="s">
        <v>159</v>
      </c>
      <c r="D134" s="32" t="s">
        <v>552</v>
      </c>
      <c r="E134" s="32" t="s">
        <v>458</v>
      </c>
      <c r="F134" s="115"/>
      <c r="G134" s="33" t="s">
        <v>158</v>
      </c>
      <c r="H134" s="166">
        <f>SUM(H135:H137)</f>
        <v>208.79999999999998</v>
      </c>
      <c r="I134" s="166">
        <f>SUM(I135:I137)</f>
        <v>73.89395</v>
      </c>
      <c r="J134" s="176">
        <f t="shared" si="20"/>
        <v>35.38982279693487</v>
      </c>
      <c r="K134" s="166"/>
      <c r="L134" s="166"/>
      <c r="M134" s="166"/>
      <c r="N134" s="166"/>
      <c r="O134" s="167"/>
      <c r="P134" s="170">
        <f t="shared" si="21"/>
        <v>208.79999999999998</v>
      </c>
      <c r="Q134" s="170">
        <f t="shared" si="22"/>
        <v>73.89395</v>
      </c>
      <c r="R134" s="171">
        <f t="shared" si="23"/>
        <v>-134.90605</v>
      </c>
      <c r="S134" s="171">
        <f t="shared" si="24"/>
        <v>35.38982279693487</v>
      </c>
      <c r="T134" s="129">
        <f>SUM(T135:T137)</f>
        <v>0</v>
      </c>
      <c r="U134" s="69"/>
    </row>
    <row r="135" spans="3:20" s="39" customFormat="1" ht="102.75" customHeight="1">
      <c r="C135" s="35" t="s">
        <v>90</v>
      </c>
      <c r="D135" s="35" t="s">
        <v>551</v>
      </c>
      <c r="E135" s="35" t="s">
        <v>458</v>
      </c>
      <c r="F135" s="119" t="s">
        <v>285</v>
      </c>
      <c r="G135" s="37" t="s">
        <v>89</v>
      </c>
      <c r="H135" s="170">
        <v>200</v>
      </c>
      <c r="I135" s="170">
        <v>68.81579</v>
      </c>
      <c r="J135" s="176">
        <f t="shared" si="20"/>
        <v>34.407895</v>
      </c>
      <c r="K135" s="170"/>
      <c r="L135" s="170"/>
      <c r="M135" s="170"/>
      <c r="N135" s="170"/>
      <c r="O135" s="171"/>
      <c r="P135" s="170">
        <f t="shared" si="21"/>
        <v>200</v>
      </c>
      <c r="Q135" s="170">
        <f t="shared" si="22"/>
        <v>68.81579</v>
      </c>
      <c r="R135" s="171">
        <f t="shared" si="23"/>
        <v>-131.18421</v>
      </c>
      <c r="S135" s="171">
        <f t="shared" si="24"/>
        <v>34.407895</v>
      </c>
      <c r="T135" s="133"/>
    </row>
    <row r="136" spans="3:20" s="39" customFormat="1" ht="87" customHeight="1">
      <c r="C136" s="35" t="s">
        <v>99</v>
      </c>
      <c r="D136" s="35" t="s">
        <v>553</v>
      </c>
      <c r="E136" s="35" t="s">
        <v>458</v>
      </c>
      <c r="F136" s="119" t="s">
        <v>0</v>
      </c>
      <c r="G136" s="45" t="s">
        <v>554</v>
      </c>
      <c r="H136" s="170">
        <v>8.6</v>
      </c>
      <c r="I136" s="170">
        <v>5.07816</v>
      </c>
      <c r="J136" s="176">
        <f t="shared" si="20"/>
        <v>59.04837209302325</v>
      </c>
      <c r="K136" s="170"/>
      <c r="L136" s="170"/>
      <c r="M136" s="170"/>
      <c r="N136" s="170"/>
      <c r="O136" s="172"/>
      <c r="P136" s="170">
        <f t="shared" si="21"/>
        <v>8.6</v>
      </c>
      <c r="Q136" s="170">
        <f t="shared" si="22"/>
        <v>5.07816</v>
      </c>
      <c r="R136" s="171">
        <f t="shared" si="23"/>
        <v>-3.52184</v>
      </c>
      <c r="S136" s="171">
        <f t="shared" si="24"/>
        <v>59.04837209302325</v>
      </c>
      <c r="T136" s="133"/>
    </row>
    <row r="137" spans="3:20" s="39" customFormat="1" ht="49.5" customHeight="1">
      <c r="C137" s="35" t="s">
        <v>100</v>
      </c>
      <c r="D137" s="35" t="s">
        <v>555</v>
      </c>
      <c r="E137" s="35" t="s">
        <v>458</v>
      </c>
      <c r="F137" s="119" t="s">
        <v>1</v>
      </c>
      <c r="G137" s="45" t="s">
        <v>663</v>
      </c>
      <c r="H137" s="170">
        <v>0.2</v>
      </c>
      <c r="I137" s="170">
        <v>0</v>
      </c>
      <c r="J137" s="176">
        <f t="shared" si="20"/>
        <v>0</v>
      </c>
      <c r="K137" s="170"/>
      <c r="L137" s="170"/>
      <c r="M137" s="170"/>
      <c r="N137" s="170"/>
      <c r="O137" s="172"/>
      <c r="P137" s="170">
        <f t="shared" si="21"/>
        <v>0.2</v>
      </c>
      <c r="Q137" s="170">
        <f t="shared" si="22"/>
        <v>0</v>
      </c>
      <c r="R137" s="171">
        <f t="shared" si="23"/>
        <v>-0.2</v>
      </c>
      <c r="S137" s="171">
        <f t="shared" si="24"/>
        <v>0</v>
      </c>
      <c r="T137" s="133"/>
    </row>
    <row r="138" spans="1:21" s="7" customFormat="1" ht="98.25" customHeight="1">
      <c r="A138" s="7">
        <v>10</v>
      </c>
      <c r="B138" s="7">
        <v>31</v>
      </c>
      <c r="C138" s="32" t="s">
        <v>96</v>
      </c>
      <c r="D138" s="32" t="s">
        <v>556</v>
      </c>
      <c r="E138" s="32" t="s">
        <v>482</v>
      </c>
      <c r="F138" s="115" t="s">
        <v>214</v>
      </c>
      <c r="G138" s="43" t="s">
        <v>557</v>
      </c>
      <c r="H138" s="166">
        <f>H139+H140</f>
        <v>266.00609</v>
      </c>
      <c r="I138" s="166">
        <f>I139+I140</f>
        <v>33.29613</v>
      </c>
      <c r="J138" s="176">
        <f t="shared" si="20"/>
        <v>12.517055530570747</v>
      </c>
      <c r="K138" s="166"/>
      <c r="L138" s="166"/>
      <c r="M138" s="166"/>
      <c r="N138" s="166"/>
      <c r="O138" s="167"/>
      <c r="P138" s="170">
        <f t="shared" si="21"/>
        <v>266.00609</v>
      </c>
      <c r="Q138" s="170">
        <f t="shared" si="22"/>
        <v>33.29613</v>
      </c>
      <c r="R138" s="171">
        <f t="shared" si="23"/>
        <v>-232.70995999999997</v>
      </c>
      <c r="S138" s="171">
        <f t="shared" si="24"/>
        <v>12.517055530570747</v>
      </c>
      <c r="T138" s="14">
        <f>SUM(T139:T140)</f>
        <v>0</v>
      </c>
      <c r="U138" s="22"/>
    </row>
    <row r="139" spans="3:20" s="39" customFormat="1" ht="42.75" customHeight="1">
      <c r="C139" s="35"/>
      <c r="D139" s="35"/>
      <c r="E139" s="35"/>
      <c r="F139" s="119"/>
      <c r="G139" s="37" t="s">
        <v>558</v>
      </c>
      <c r="H139" s="166">
        <v>116.00609</v>
      </c>
      <c r="I139" s="170">
        <v>17.5173</v>
      </c>
      <c r="J139" s="176">
        <f t="shared" si="20"/>
        <v>15.100327922439243</v>
      </c>
      <c r="K139" s="170"/>
      <c r="L139" s="170"/>
      <c r="M139" s="170"/>
      <c r="N139" s="170"/>
      <c r="O139" s="171"/>
      <c r="P139" s="170">
        <f t="shared" si="21"/>
        <v>116.00609</v>
      </c>
      <c r="Q139" s="170">
        <f t="shared" si="22"/>
        <v>17.5173</v>
      </c>
      <c r="R139" s="171">
        <f t="shared" si="23"/>
        <v>-98.48879</v>
      </c>
      <c r="S139" s="171">
        <f t="shared" si="24"/>
        <v>15.100327922439243</v>
      </c>
      <c r="T139" s="133"/>
    </row>
    <row r="140" spans="3:20" s="39" customFormat="1" ht="41.25" customHeight="1">
      <c r="C140" s="35"/>
      <c r="D140" s="35"/>
      <c r="E140" s="35"/>
      <c r="F140" s="119"/>
      <c r="G140" s="37" t="s">
        <v>625</v>
      </c>
      <c r="H140" s="170">
        <v>150</v>
      </c>
      <c r="I140" s="170">
        <v>15.77883</v>
      </c>
      <c r="J140" s="176">
        <f t="shared" si="20"/>
        <v>10.51922</v>
      </c>
      <c r="K140" s="170"/>
      <c r="L140" s="170"/>
      <c r="M140" s="170"/>
      <c r="N140" s="170"/>
      <c r="O140" s="171"/>
      <c r="P140" s="170">
        <f t="shared" si="21"/>
        <v>150</v>
      </c>
      <c r="Q140" s="170">
        <f t="shared" si="22"/>
        <v>15.77883</v>
      </c>
      <c r="R140" s="171">
        <f t="shared" si="23"/>
        <v>-134.22117</v>
      </c>
      <c r="S140" s="171">
        <f t="shared" si="24"/>
        <v>10.51922</v>
      </c>
      <c r="T140" s="133"/>
    </row>
    <row r="141" spans="1:21" s="7" customFormat="1" ht="29.25" customHeight="1">
      <c r="A141" s="7">
        <v>11</v>
      </c>
      <c r="B141" s="7">
        <v>32</v>
      </c>
      <c r="C141" s="32" t="s">
        <v>160</v>
      </c>
      <c r="D141" s="32" t="s">
        <v>559</v>
      </c>
      <c r="E141" s="32" t="s">
        <v>501</v>
      </c>
      <c r="F141" s="115"/>
      <c r="G141" s="43" t="s">
        <v>161</v>
      </c>
      <c r="H141" s="166">
        <f>SUM(H143:H147)</f>
        <v>1522.6</v>
      </c>
      <c r="I141" s="166">
        <f>SUM(I143:I147)</f>
        <v>278.38535</v>
      </c>
      <c r="J141" s="176">
        <f t="shared" si="20"/>
        <v>18.283551162485224</v>
      </c>
      <c r="K141" s="166"/>
      <c r="L141" s="166"/>
      <c r="M141" s="166"/>
      <c r="N141" s="166"/>
      <c r="O141" s="167"/>
      <c r="P141" s="170">
        <f t="shared" si="21"/>
        <v>1522.6</v>
      </c>
      <c r="Q141" s="170">
        <f t="shared" si="22"/>
        <v>278.38535</v>
      </c>
      <c r="R141" s="171">
        <f t="shared" si="23"/>
        <v>-1244.21465</v>
      </c>
      <c r="S141" s="171">
        <f t="shared" si="24"/>
        <v>18.283551162485224</v>
      </c>
      <c r="T141" s="129">
        <f>SUM(T143:T147)</f>
        <v>0</v>
      </c>
      <c r="U141" s="22"/>
    </row>
    <row r="142" spans="3:21" s="7" customFormat="1" ht="48" customHeight="1">
      <c r="C142" s="35" t="s">
        <v>86</v>
      </c>
      <c r="D142" s="35" t="s">
        <v>560</v>
      </c>
      <c r="E142" s="35" t="s">
        <v>501</v>
      </c>
      <c r="F142" s="119" t="s">
        <v>218</v>
      </c>
      <c r="G142" s="37" t="s">
        <v>562</v>
      </c>
      <c r="H142" s="166">
        <f>SUM(H143:H146)</f>
        <v>1332</v>
      </c>
      <c r="I142" s="166">
        <f>SUM(I143:I146)</f>
        <v>186.12502</v>
      </c>
      <c r="J142" s="176">
        <f t="shared" si="20"/>
        <v>13.97334984984985</v>
      </c>
      <c r="K142" s="166"/>
      <c r="L142" s="166"/>
      <c r="M142" s="166"/>
      <c r="N142" s="166"/>
      <c r="O142" s="167"/>
      <c r="P142" s="170">
        <f t="shared" si="21"/>
        <v>1332</v>
      </c>
      <c r="Q142" s="170">
        <f t="shared" si="22"/>
        <v>186.12502</v>
      </c>
      <c r="R142" s="171">
        <f t="shared" si="23"/>
        <v>-1145.87498</v>
      </c>
      <c r="S142" s="171">
        <f t="shared" si="24"/>
        <v>13.97334984984985</v>
      </c>
      <c r="T142" s="14">
        <f>SUM(T143:T146)</f>
        <v>0</v>
      </c>
      <c r="U142" s="22"/>
    </row>
    <row r="143" spans="3:20" s="39" customFormat="1" ht="29.25" customHeight="1">
      <c r="C143" s="35"/>
      <c r="D143" s="35"/>
      <c r="E143" s="35"/>
      <c r="F143" s="119"/>
      <c r="G143" s="37" t="s">
        <v>410</v>
      </c>
      <c r="H143" s="166">
        <v>158</v>
      </c>
      <c r="I143" s="183">
        <v>54</v>
      </c>
      <c r="J143" s="176">
        <f t="shared" si="20"/>
        <v>34.177215189873415</v>
      </c>
      <c r="K143" s="170"/>
      <c r="L143" s="170"/>
      <c r="M143" s="170"/>
      <c r="N143" s="170"/>
      <c r="O143" s="171"/>
      <c r="P143" s="170">
        <f t="shared" si="21"/>
        <v>158</v>
      </c>
      <c r="Q143" s="170">
        <f t="shared" si="22"/>
        <v>54</v>
      </c>
      <c r="R143" s="171">
        <f t="shared" si="23"/>
        <v>-104</v>
      </c>
      <c r="S143" s="171">
        <f t="shared" si="24"/>
        <v>34.177215189873415</v>
      </c>
      <c r="T143" s="133"/>
    </row>
    <row r="144" spans="3:20" s="39" customFormat="1" ht="138.75" customHeight="1" hidden="1">
      <c r="C144" s="35"/>
      <c r="D144" s="35"/>
      <c r="E144" s="35"/>
      <c r="F144" s="119"/>
      <c r="G144" s="37" t="s">
        <v>409</v>
      </c>
      <c r="H144" s="166"/>
      <c r="I144" s="183"/>
      <c r="J144" s="176" t="e">
        <f t="shared" si="20"/>
        <v>#DIV/0!</v>
      </c>
      <c r="K144" s="170"/>
      <c r="L144" s="170"/>
      <c r="M144" s="170"/>
      <c r="N144" s="170"/>
      <c r="O144" s="171"/>
      <c r="P144" s="170">
        <f t="shared" si="21"/>
        <v>0</v>
      </c>
      <c r="Q144" s="170">
        <f t="shared" si="22"/>
        <v>0</v>
      </c>
      <c r="R144" s="171">
        <f t="shared" si="23"/>
        <v>0</v>
      </c>
      <c r="S144" s="171" t="e">
        <f t="shared" si="24"/>
        <v>#DIV/0!</v>
      </c>
      <c r="T144" s="133"/>
    </row>
    <row r="145" spans="3:20" s="39" customFormat="1" ht="50.25" customHeight="1">
      <c r="C145" s="35"/>
      <c r="D145" s="35"/>
      <c r="E145" s="35"/>
      <c r="F145" s="119"/>
      <c r="G145" s="37" t="s">
        <v>558</v>
      </c>
      <c r="H145" s="166">
        <v>974</v>
      </c>
      <c r="I145" s="170">
        <v>110.12502</v>
      </c>
      <c r="J145" s="176">
        <f t="shared" si="20"/>
        <v>11.30647022587269</v>
      </c>
      <c r="K145" s="170"/>
      <c r="L145" s="170"/>
      <c r="M145" s="170"/>
      <c r="N145" s="170"/>
      <c r="O145" s="171"/>
      <c r="P145" s="170">
        <f t="shared" si="21"/>
        <v>974</v>
      </c>
      <c r="Q145" s="170">
        <f t="shared" si="22"/>
        <v>110.12502</v>
      </c>
      <c r="R145" s="171">
        <f t="shared" si="23"/>
        <v>-863.87498</v>
      </c>
      <c r="S145" s="171">
        <f t="shared" si="24"/>
        <v>11.30647022587269</v>
      </c>
      <c r="T145" s="133"/>
    </row>
    <row r="146" spans="3:20" s="39" customFormat="1" ht="42" customHeight="1">
      <c r="C146" s="35"/>
      <c r="D146" s="35"/>
      <c r="E146" s="35"/>
      <c r="F146" s="119"/>
      <c r="G146" s="37" t="s">
        <v>627</v>
      </c>
      <c r="H146" s="170">
        <v>200</v>
      </c>
      <c r="I146" s="170">
        <v>22</v>
      </c>
      <c r="J146" s="176">
        <f t="shared" si="20"/>
        <v>11</v>
      </c>
      <c r="K146" s="170"/>
      <c r="L146" s="170"/>
      <c r="M146" s="170"/>
      <c r="N146" s="170"/>
      <c r="O146" s="171"/>
      <c r="P146" s="170">
        <f t="shared" si="21"/>
        <v>200</v>
      </c>
      <c r="Q146" s="170">
        <f t="shared" si="22"/>
        <v>22</v>
      </c>
      <c r="R146" s="171">
        <f t="shared" si="23"/>
        <v>-178</v>
      </c>
      <c r="S146" s="171">
        <f t="shared" si="24"/>
        <v>11</v>
      </c>
      <c r="T146" s="133"/>
    </row>
    <row r="147" spans="3:20" s="39" customFormat="1" ht="72.75" customHeight="1">
      <c r="C147" s="35" t="s">
        <v>97</v>
      </c>
      <c r="D147" s="35" t="s">
        <v>561</v>
      </c>
      <c r="E147" s="35" t="s">
        <v>501</v>
      </c>
      <c r="F147" s="119" t="s">
        <v>213</v>
      </c>
      <c r="G147" s="37" t="s">
        <v>375</v>
      </c>
      <c r="H147" s="170">
        <f>SUM(H148:H149)</f>
        <v>190.60000000000002</v>
      </c>
      <c r="I147" s="170">
        <f>SUM(I148:I149)</f>
        <v>92.26033000000001</v>
      </c>
      <c r="J147" s="176">
        <f t="shared" si="20"/>
        <v>48.40520986358867</v>
      </c>
      <c r="K147" s="170"/>
      <c r="L147" s="170"/>
      <c r="M147" s="170"/>
      <c r="N147" s="170"/>
      <c r="O147" s="171"/>
      <c r="P147" s="170">
        <f t="shared" si="21"/>
        <v>190.60000000000002</v>
      </c>
      <c r="Q147" s="170">
        <f t="shared" si="22"/>
        <v>92.26033000000001</v>
      </c>
      <c r="R147" s="171">
        <f t="shared" si="23"/>
        <v>-98.33967000000001</v>
      </c>
      <c r="S147" s="171">
        <f t="shared" si="24"/>
        <v>48.40520986358867</v>
      </c>
      <c r="T147" s="133"/>
    </row>
    <row r="148" spans="3:20" s="39" customFormat="1" ht="95.25" customHeight="1">
      <c r="C148" s="35"/>
      <c r="D148" s="35"/>
      <c r="E148" s="35"/>
      <c r="F148" s="119"/>
      <c r="G148" s="37" t="s">
        <v>652</v>
      </c>
      <c r="H148" s="170">
        <v>156.15</v>
      </c>
      <c r="I148" s="170">
        <v>76.35442</v>
      </c>
      <c r="J148" s="176">
        <f t="shared" si="20"/>
        <v>48.89812359910343</v>
      </c>
      <c r="K148" s="170"/>
      <c r="L148" s="170"/>
      <c r="M148" s="170"/>
      <c r="N148" s="170"/>
      <c r="O148" s="171"/>
      <c r="P148" s="170">
        <f t="shared" si="21"/>
        <v>156.15</v>
      </c>
      <c r="Q148" s="170">
        <f t="shared" si="22"/>
        <v>76.35442</v>
      </c>
      <c r="R148" s="171">
        <f t="shared" si="23"/>
        <v>-79.79558</v>
      </c>
      <c r="S148" s="171">
        <f t="shared" si="24"/>
        <v>48.89812359910343</v>
      </c>
      <c r="T148" s="133"/>
    </row>
    <row r="149" spans="3:20" s="39" customFormat="1" ht="67.5" customHeight="1">
      <c r="C149" s="35"/>
      <c r="D149" s="35"/>
      <c r="E149" s="35"/>
      <c r="F149" s="119"/>
      <c r="G149" s="37" t="s">
        <v>626</v>
      </c>
      <c r="H149" s="170">
        <v>34.45</v>
      </c>
      <c r="I149" s="170">
        <v>15.90591</v>
      </c>
      <c r="J149" s="176">
        <f t="shared" si="20"/>
        <v>46.17100145137881</v>
      </c>
      <c r="K149" s="170"/>
      <c r="L149" s="170"/>
      <c r="M149" s="170"/>
      <c r="N149" s="170"/>
      <c r="O149" s="171"/>
      <c r="P149" s="170">
        <f t="shared" si="21"/>
        <v>34.45</v>
      </c>
      <c r="Q149" s="170">
        <f t="shared" si="22"/>
        <v>15.90591</v>
      </c>
      <c r="R149" s="171">
        <f t="shared" si="23"/>
        <v>-18.544090000000004</v>
      </c>
      <c r="S149" s="171">
        <f t="shared" si="24"/>
        <v>46.17100145137881</v>
      </c>
      <c r="T149" s="133"/>
    </row>
    <row r="150" spans="1:21" s="39" customFormat="1" ht="43.5" customHeight="1">
      <c r="A150" s="7">
        <v>12</v>
      </c>
      <c r="B150" s="7">
        <v>33</v>
      </c>
      <c r="C150" s="32" t="s">
        <v>162</v>
      </c>
      <c r="D150" s="32" t="s">
        <v>563</v>
      </c>
      <c r="E150" s="32" t="s">
        <v>463</v>
      </c>
      <c r="F150" s="115" t="s">
        <v>217</v>
      </c>
      <c r="G150" s="43" t="s">
        <v>670</v>
      </c>
      <c r="H150" s="170">
        <f>SUM(H151:H154)</f>
        <v>1880.063</v>
      </c>
      <c r="I150" s="170">
        <f>SUM(I151:I154)</f>
        <v>729.46463</v>
      </c>
      <c r="J150" s="176">
        <f t="shared" si="20"/>
        <v>38.80000989328549</v>
      </c>
      <c r="K150" s="170">
        <f>K151+K152+K153</f>
        <v>1.07231</v>
      </c>
      <c r="L150" s="170">
        <f>L151+L152+L153</f>
        <v>0</v>
      </c>
      <c r="M150" s="170">
        <f>M151+M152+M153</f>
        <v>1.07231</v>
      </c>
      <c r="N150" s="170">
        <f>N151+N152+N153</f>
        <v>0</v>
      </c>
      <c r="O150" s="171">
        <f>M150/K150*100</f>
        <v>100</v>
      </c>
      <c r="P150" s="170">
        <f t="shared" si="21"/>
        <v>1881.1353100000001</v>
      </c>
      <c r="Q150" s="170">
        <f t="shared" si="22"/>
        <v>730.5369400000001</v>
      </c>
      <c r="R150" s="171">
        <f t="shared" si="23"/>
        <v>-1150.5983700000002</v>
      </c>
      <c r="S150" s="171">
        <f t="shared" si="24"/>
        <v>38.83489593313732</v>
      </c>
      <c r="T150" s="133">
        <f>SUM(T151:T152)</f>
        <v>0</v>
      </c>
      <c r="U150" s="54"/>
    </row>
    <row r="151" spans="3:20" s="39" customFormat="1" ht="36.75" customHeight="1">
      <c r="C151" s="35" t="s">
        <v>94</v>
      </c>
      <c r="D151" s="35" t="s">
        <v>564</v>
      </c>
      <c r="E151" s="35" t="s">
        <v>463</v>
      </c>
      <c r="F151" s="119"/>
      <c r="G151" s="45" t="s">
        <v>671</v>
      </c>
      <c r="H151" s="170">
        <v>54</v>
      </c>
      <c r="I151" s="170">
        <v>54</v>
      </c>
      <c r="J151" s="176">
        <f t="shared" si="20"/>
        <v>100</v>
      </c>
      <c r="K151" s="170"/>
      <c r="L151" s="170"/>
      <c r="M151" s="170"/>
      <c r="N151" s="170"/>
      <c r="O151" s="171"/>
      <c r="P151" s="170">
        <f t="shared" si="21"/>
        <v>54</v>
      </c>
      <c r="Q151" s="170">
        <f t="shared" si="22"/>
        <v>54</v>
      </c>
      <c r="R151" s="171">
        <f t="shared" si="23"/>
        <v>0</v>
      </c>
      <c r="S151" s="171">
        <f t="shared" si="24"/>
        <v>100</v>
      </c>
      <c r="T151" s="133"/>
    </row>
    <row r="152" spans="3:21" s="39" customFormat="1" ht="45" customHeight="1">
      <c r="C152" s="35" t="s">
        <v>83</v>
      </c>
      <c r="D152" s="35" t="s">
        <v>565</v>
      </c>
      <c r="E152" s="35" t="s">
        <v>463</v>
      </c>
      <c r="F152" s="119"/>
      <c r="G152" s="45" t="s">
        <v>525</v>
      </c>
      <c r="H152" s="170">
        <v>1801.063</v>
      </c>
      <c r="I152" s="170">
        <v>650.46463</v>
      </c>
      <c r="J152" s="176">
        <f t="shared" si="20"/>
        <v>36.11559562325138</v>
      </c>
      <c r="K152" s="170">
        <v>1.07231</v>
      </c>
      <c r="L152" s="170"/>
      <c r="M152" s="170">
        <v>1.07231</v>
      </c>
      <c r="N152" s="170">
        <v>0</v>
      </c>
      <c r="O152" s="171">
        <f>M152/K152*100</f>
        <v>100</v>
      </c>
      <c r="P152" s="170">
        <f t="shared" si="21"/>
        <v>1802.1353100000001</v>
      </c>
      <c r="Q152" s="170">
        <f t="shared" si="22"/>
        <v>651.5369400000001</v>
      </c>
      <c r="R152" s="171">
        <f t="shared" si="23"/>
        <v>-1150.5983700000002</v>
      </c>
      <c r="S152" s="171">
        <f t="shared" si="24"/>
        <v>36.15360824376722</v>
      </c>
      <c r="T152" s="133"/>
      <c r="U152" s="51"/>
    </row>
    <row r="153" spans="3:21" s="39" customFormat="1" ht="51.75" customHeight="1">
      <c r="C153" s="35" t="s">
        <v>287</v>
      </c>
      <c r="D153" s="35" t="s">
        <v>708</v>
      </c>
      <c r="E153" s="35" t="s">
        <v>463</v>
      </c>
      <c r="F153" s="119"/>
      <c r="G153" s="45" t="s">
        <v>709</v>
      </c>
      <c r="H153" s="170">
        <v>25</v>
      </c>
      <c r="I153" s="170">
        <v>25</v>
      </c>
      <c r="J153" s="176">
        <f t="shared" si="20"/>
        <v>100</v>
      </c>
      <c r="K153" s="170"/>
      <c r="L153" s="170"/>
      <c r="M153" s="170"/>
      <c r="N153" s="170"/>
      <c r="O153" s="171"/>
      <c r="P153" s="170">
        <f t="shared" si="21"/>
        <v>25</v>
      </c>
      <c r="Q153" s="170">
        <f t="shared" si="22"/>
        <v>25</v>
      </c>
      <c r="R153" s="171">
        <f t="shared" si="23"/>
        <v>0</v>
      </c>
      <c r="S153" s="171">
        <f t="shared" si="24"/>
        <v>100</v>
      </c>
      <c r="T153" s="133"/>
      <c r="U153" s="51"/>
    </row>
    <row r="154" spans="3:20" s="39" customFormat="1" ht="201" customHeight="1" hidden="1">
      <c r="C154" s="35" t="s">
        <v>287</v>
      </c>
      <c r="D154" s="35"/>
      <c r="E154" s="35"/>
      <c r="F154" s="119"/>
      <c r="G154" s="45" t="s">
        <v>288</v>
      </c>
      <c r="H154" s="170"/>
      <c r="I154" s="170"/>
      <c r="J154" s="176" t="e">
        <f t="shared" si="20"/>
        <v>#DIV/0!</v>
      </c>
      <c r="K154" s="170"/>
      <c r="L154" s="170"/>
      <c r="M154" s="170"/>
      <c r="N154" s="170"/>
      <c r="O154" s="171"/>
      <c r="P154" s="170">
        <f t="shared" si="21"/>
        <v>0</v>
      </c>
      <c r="Q154" s="170">
        <f t="shared" si="22"/>
        <v>0</v>
      </c>
      <c r="R154" s="171">
        <f t="shared" si="23"/>
        <v>0</v>
      </c>
      <c r="S154" s="171" t="e">
        <f t="shared" si="24"/>
        <v>#DIV/0!</v>
      </c>
      <c r="T154" s="135"/>
    </row>
    <row r="155" spans="2:21" s="7" customFormat="1" ht="72" customHeight="1" hidden="1">
      <c r="B155" s="87">
        <v>34</v>
      </c>
      <c r="C155" s="32" t="s">
        <v>358</v>
      </c>
      <c r="D155" s="32" t="s">
        <v>474</v>
      </c>
      <c r="E155" s="32" t="s">
        <v>475</v>
      </c>
      <c r="F155" s="115" t="s">
        <v>3</v>
      </c>
      <c r="G155" s="42" t="s">
        <v>31</v>
      </c>
      <c r="H155" s="170"/>
      <c r="I155" s="166"/>
      <c r="J155" s="176" t="e">
        <f t="shared" si="20"/>
        <v>#DIV/0!</v>
      </c>
      <c r="K155" s="166"/>
      <c r="L155" s="166"/>
      <c r="M155" s="170"/>
      <c r="N155" s="170"/>
      <c r="O155" s="167">
        <f>SUM(O158:O159)</f>
        <v>0</v>
      </c>
      <c r="P155" s="170">
        <f t="shared" si="21"/>
        <v>0</v>
      </c>
      <c r="Q155" s="170">
        <f t="shared" si="22"/>
        <v>0</v>
      </c>
      <c r="R155" s="171">
        <f t="shared" si="23"/>
        <v>0</v>
      </c>
      <c r="S155" s="171" t="e">
        <f t="shared" si="24"/>
        <v>#DIV/0!</v>
      </c>
      <c r="T155" s="129">
        <f>SUM(T156:T159)</f>
        <v>0</v>
      </c>
      <c r="U155" s="22"/>
    </row>
    <row r="156" spans="3:21" s="39" customFormat="1" ht="19.5" customHeight="1" hidden="1">
      <c r="C156" s="35"/>
      <c r="D156" s="35"/>
      <c r="E156" s="35"/>
      <c r="F156" s="119"/>
      <c r="G156" s="52" t="s">
        <v>5</v>
      </c>
      <c r="H156" s="170"/>
      <c r="I156" s="170"/>
      <c r="J156" s="176" t="e">
        <f t="shared" si="20"/>
        <v>#DIV/0!</v>
      </c>
      <c r="K156" s="170"/>
      <c r="L156" s="170"/>
      <c r="M156" s="170"/>
      <c r="N156" s="170"/>
      <c r="O156" s="171"/>
      <c r="P156" s="170">
        <f t="shared" si="21"/>
        <v>0</v>
      </c>
      <c r="Q156" s="170">
        <f t="shared" si="22"/>
        <v>0</v>
      </c>
      <c r="R156" s="171">
        <f t="shared" si="23"/>
        <v>0</v>
      </c>
      <c r="S156" s="171" t="e">
        <f t="shared" si="24"/>
        <v>#DIV/0!</v>
      </c>
      <c r="T156" s="135"/>
      <c r="U156" s="54"/>
    </row>
    <row r="157" spans="3:21" s="39" customFormat="1" ht="78" customHeight="1" hidden="1">
      <c r="C157" s="35" t="s">
        <v>359</v>
      </c>
      <c r="D157" s="35"/>
      <c r="E157" s="35"/>
      <c r="F157" s="119"/>
      <c r="G157" s="45" t="s">
        <v>379</v>
      </c>
      <c r="H157" s="170"/>
      <c r="I157" s="170"/>
      <c r="J157" s="176" t="e">
        <f t="shared" si="20"/>
        <v>#DIV/0!</v>
      </c>
      <c r="K157" s="170"/>
      <c r="L157" s="170"/>
      <c r="M157" s="170"/>
      <c r="N157" s="170"/>
      <c r="O157" s="171">
        <f>SUM(O158:O159)</f>
        <v>0</v>
      </c>
      <c r="P157" s="170">
        <f t="shared" si="21"/>
        <v>0</v>
      </c>
      <c r="Q157" s="170">
        <f t="shared" si="22"/>
        <v>0</v>
      </c>
      <c r="R157" s="171">
        <f t="shared" si="23"/>
        <v>0</v>
      </c>
      <c r="S157" s="171" t="e">
        <f t="shared" si="24"/>
        <v>#DIV/0!</v>
      </c>
      <c r="T157" s="135"/>
      <c r="U157" s="54"/>
    </row>
    <row r="158" spans="3:21" s="39" customFormat="1" ht="115.5" customHeight="1" hidden="1">
      <c r="C158" s="35" t="s">
        <v>359</v>
      </c>
      <c r="D158" s="35"/>
      <c r="E158" s="35"/>
      <c r="F158" s="119"/>
      <c r="G158" s="45" t="s">
        <v>381</v>
      </c>
      <c r="H158" s="170"/>
      <c r="I158" s="170"/>
      <c r="J158" s="176" t="e">
        <f t="shared" si="20"/>
        <v>#DIV/0!</v>
      </c>
      <c r="K158" s="170"/>
      <c r="L158" s="170"/>
      <c r="M158" s="170"/>
      <c r="N158" s="170"/>
      <c r="O158" s="171"/>
      <c r="P158" s="170">
        <f t="shared" si="21"/>
        <v>0</v>
      </c>
      <c r="Q158" s="170">
        <f t="shared" si="22"/>
        <v>0</v>
      </c>
      <c r="R158" s="171">
        <f t="shared" si="23"/>
        <v>0</v>
      </c>
      <c r="S158" s="171" t="e">
        <f t="shared" si="24"/>
        <v>#DIV/0!</v>
      </c>
      <c r="T158" s="135"/>
      <c r="U158" s="54"/>
    </row>
    <row r="159" spans="3:21" s="39" customFormat="1" ht="99" customHeight="1" hidden="1">
      <c r="C159" s="35" t="s">
        <v>380</v>
      </c>
      <c r="D159" s="35"/>
      <c r="E159" s="35"/>
      <c r="F159" s="119"/>
      <c r="G159" s="37" t="s">
        <v>382</v>
      </c>
      <c r="H159" s="170"/>
      <c r="I159" s="170"/>
      <c r="J159" s="176" t="e">
        <f t="shared" si="20"/>
        <v>#DIV/0!</v>
      </c>
      <c r="K159" s="170"/>
      <c r="L159" s="170"/>
      <c r="M159" s="170"/>
      <c r="N159" s="170"/>
      <c r="O159" s="171"/>
      <c r="P159" s="170">
        <f t="shared" si="21"/>
        <v>0</v>
      </c>
      <c r="Q159" s="170">
        <f t="shared" si="22"/>
        <v>0</v>
      </c>
      <c r="R159" s="171">
        <f t="shared" si="23"/>
        <v>0</v>
      </c>
      <c r="S159" s="171" t="e">
        <f t="shared" si="24"/>
        <v>#DIV/0!</v>
      </c>
      <c r="T159" s="135"/>
      <c r="U159" s="54"/>
    </row>
    <row r="160" spans="3:21" s="7" customFormat="1" ht="81.75" customHeight="1">
      <c r="C160" s="32" t="s">
        <v>376</v>
      </c>
      <c r="D160" s="32" t="s">
        <v>476</v>
      </c>
      <c r="E160" s="32" t="s">
        <v>566</v>
      </c>
      <c r="F160" s="115" t="s">
        <v>341</v>
      </c>
      <c r="G160" s="43" t="s">
        <v>342</v>
      </c>
      <c r="H160" s="166">
        <v>73.5</v>
      </c>
      <c r="I160" s="166">
        <v>37.5957</v>
      </c>
      <c r="J160" s="176">
        <f t="shared" si="20"/>
        <v>51.150612244897964</v>
      </c>
      <c r="K160" s="166">
        <v>38.8781</v>
      </c>
      <c r="L160" s="166"/>
      <c r="M160" s="166">
        <v>37.5957</v>
      </c>
      <c r="N160" s="166">
        <v>0</v>
      </c>
      <c r="O160" s="167">
        <f>M160/K160*100</f>
        <v>96.70148489766733</v>
      </c>
      <c r="P160" s="170">
        <f t="shared" si="21"/>
        <v>112.3781</v>
      </c>
      <c r="Q160" s="170">
        <f t="shared" si="22"/>
        <v>75.1914</v>
      </c>
      <c r="R160" s="171">
        <f t="shared" si="23"/>
        <v>-37.1867</v>
      </c>
      <c r="S160" s="171">
        <f t="shared" si="24"/>
        <v>66.9092999436723</v>
      </c>
      <c r="T160" s="134"/>
      <c r="U160" s="22"/>
    </row>
    <row r="161" spans="3:21" s="7" customFormat="1" ht="47.25" customHeight="1">
      <c r="C161" s="32" t="s">
        <v>675</v>
      </c>
      <c r="D161" s="32" t="s">
        <v>676</v>
      </c>
      <c r="E161" s="32" t="s">
        <v>482</v>
      </c>
      <c r="F161" s="115"/>
      <c r="G161" s="33" t="s">
        <v>679</v>
      </c>
      <c r="H161" s="166">
        <f>I161+L161</f>
        <v>0</v>
      </c>
      <c r="I161" s="166">
        <v>0</v>
      </c>
      <c r="J161" s="176"/>
      <c r="K161" s="166">
        <f>K162</f>
        <v>500</v>
      </c>
      <c r="L161" s="166"/>
      <c r="M161" s="166">
        <f>M162</f>
        <v>0</v>
      </c>
      <c r="N161" s="166">
        <f>N162</f>
        <v>0</v>
      </c>
      <c r="O161" s="167">
        <f>M161/K161*100</f>
        <v>0</v>
      </c>
      <c r="P161" s="170">
        <f t="shared" si="21"/>
        <v>500</v>
      </c>
      <c r="Q161" s="170">
        <f t="shared" si="22"/>
        <v>0</v>
      </c>
      <c r="R161" s="171">
        <f t="shared" si="23"/>
        <v>-500</v>
      </c>
      <c r="S161" s="171">
        <f t="shared" si="24"/>
        <v>0</v>
      </c>
      <c r="T161" s="14">
        <f>T162</f>
        <v>500</v>
      </c>
      <c r="U161" s="22"/>
    </row>
    <row r="162" spans="3:21" s="7" customFormat="1" ht="139.5" customHeight="1">
      <c r="C162" s="35" t="s">
        <v>677</v>
      </c>
      <c r="D162" s="35" t="s">
        <v>678</v>
      </c>
      <c r="E162" s="35" t="s">
        <v>482</v>
      </c>
      <c r="F162" s="115"/>
      <c r="G162" s="45" t="s">
        <v>692</v>
      </c>
      <c r="H162" s="166">
        <f>I162+L162</f>
        <v>0</v>
      </c>
      <c r="I162" s="166">
        <v>0</v>
      </c>
      <c r="J162" s="176"/>
      <c r="K162" s="166">
        <v>500</v>
      </c>
      <c r="L162" s="166"/>
      <c r="M162" s="166">
        <v>0</v>
      </c>
      <c r="N162" s="166">
        <v>0</v>
      </c>
      <c r="O162" s="167">
        <f>M162/K162*100</f>
        <v>0</v>
      </c>
      <c r="P162" s="170">
        <f t="shared" si="21"/>
        <v>500</v>
      </c>
      <c r="Q162" s="170">
        <f t="shared" si="22"/>
        <v>0</v>
      </c>
      <c r="R162" s="171">
        <f t="shared" si="23"/>
        <v>-500</v>
      </c>
      <c r="S162" s="171">
        <f t="shared" si="24"/>
        <v>0</v>
      </c>
      <c r="T162" s="14">
        <v>500</v>
      </c>
      <c r="U162" s="22"/>
    </row>
    <row r="163" spans="3:21" s="7" customFormat="1" ht="44.25" customHeight="1">
      <c r="C163" s="35"/>
      <c r="D163" s="35"/>
      <c r="E163" s="35"/>
      <c r="F163" s="115"/>
      <c r="G163" s="64" t="s">
        <v>142</v>
      </c>
      <c r="H163" s="174">
        <f>H68+H69+H70+H78+H86+H92+H100+H105+H116+H126+H127+H128+H129+H131+H134+H138+H141+H150+H160+H161</f>
        <v>131332.91459</v>
      </c>
      <c r="I163" s="174">
        <f>I68+I69+I70+I78+I86+I92+I100+I105+I116+I126+I127+I128+I129+I131+I134+I138+I141+I150+I160+I161</f>
        <v>63494.67721000001</v>
      </c>
      <c r="J163" s="188">
        <f>I163/H163*100</f>
        <v>48.346355068887384</v>
      </c>
      <c r="K163" s="174">
        <f>K68+K69+K70+K78+K86+K92+K100+K105+K116+K126+K127+K128+K129+K134+K138+K141+K150+K160+K161</f>
        <v>9406.868419999999</v>
      </c>
      <c r="L163" s="174">
        <f>L68+L69+L70+L78+L86+L92+L100+L105+L116+L126+L127+L128+L129+L134+L138+L141+L150+L160+L161</f>
        <v>0</v>
      </c>
      <c r="M163" s="174">
        <f>M68+M69+M70+M78+M86+M92+M100+M105+M116+M126+M127+M128+M129+M134+M138+M141+M150+M160+M161</f>
        <v>3600.44928</v>
      </c>
      <c r="N163" s="174">
        <f>N68+N69+N70+N78+N86+N92+N100+N105+N116+N126+N127+N128+N129+N134+N138+N141+N150+N160+N161</f>
        <v>108.51160999999999</v>
      </c>
      <c r="O163" s="175">
        <f>M163/K163*100</f>
        <v>38.27468525386263</v>
      </c>
      <c r="P163" s="174">
        <f>H163+K163</f>
        <v>140739.78301</v>
      </c>
      <c r="Q163" s="174">
        <f>I163+M163</f>
        <v>67095.12649000001</v>
      </c>
      <c r="R163" s="175">
        <f>Q163-P163</f>
        <v>-73644.65652</v>
      </c>
      <c r="S163" s="175">
        <f>Q163/P163*100</f>
        <v>47.67317744495363</v>
      </c>
      <c r="T163" s="14"/>
      <c r="U163" s="22"/>
    </row>
    <row r="164" spans="3:21" s="50" customFormat="1" ht="48.75" customHeight="1">
      <c r="C164" s="30" t="s">
        <v>180</v>
      </c>
      <c r="D164" s="30"/>
      <c r="E164" s="30"/>
      <c r="F164" s="121"/>
      <c r="G164" s="86" t="s">
        <v>182</v>
      </c>
      <c r="H164" s="174"/>
      <c r="I164" s="174"/>
      <c r="J164" s="176"/>
      <c r="K164" s="174"/>
      <c r="L164" s="174"/>
      <c r="M164" s="174"/>
      <c r="N164" s="174"/>
      <c r="O164" s="175"/>
      <c r="P164" s="174"/>
      <c r="Q164" s="174"/>
      <c r="R164" s="175"/>
      <c r="S164" s="175"/>
      <c r="T164" s="136"/>
      <c r="U164" s="53"/>
    </row>
    <row r="165" spans="3:21" s="7" customFormat="1" ht="51.75" customHeight="1">
      <c r="C165" s="32" t="s">
        <v>181</v>
      </c>
      <c r="D165" s="32"/>
      <c r="E165" s="32"/>
      <c r="F165" s="115"/>
      <c r="G165" s="48" t="s">
        <v>183</v>
      </c>
      <c r="H165" s="166"/>
      <c r="I165" s="166"/>
      <c r="J165" s="176"/>
      <c r="K165" s="166"/>
      <c r="L165" s="166"/>
      <c r="M165" s="166"/>
      <c r="N165" s="166"/>
      <c r="O165" s="167"/>
      <c r="P165" s="166"/>
      <c r="Q165" s="166"/>
      <c r="R165" s="167"/>
      <c r="S165" s="167"/>
      <c r="T165" s="129"/>
      <c r="U165" s="22"/>
    </row>
    <row r="166" spans="1:20" s="7" customFormat="1" ht="98.25" customHeight="1">
      <c r="A166" s="7">
        <v>4</v>
      </c>
      <c r="B166" s="7">
        <v>35</v>
      </c>
      <c r="C166" s="32" t="s">
        <v>308</v>
      </c>
      <c r="D166" s="32" t="s">
        <v>437</v>
      </c>
      <c r="E166" s="32" t="s">
        <v>438</v>
      </c>
      <c r="F166" s="115" t="s">
        <v>205</v>
      </c>
      <c r="G166" s="33" t="s">
        <v>621</v>
      </c>
      <c r="H166" s="166">
        <v>811.2</v>
      </c>
      <c r="I166" s="166">
        <v>460.80576</v>
      </c>
      <c r="J166" s="176">
        <f t="shared" si="20"/>
        <v>56.805443786982245</v>
      </c>
      <c r="K166" s="166">
        <v>16.815</v>
      </c>
      <c r="L166" s="166"/>
      <c r="M166" s="166">
        <v>10.45703</v>
      </c>
      <c r="N166" s="166">
        <v>0</v>
      </c>
      <c r="O166" s="167">
        <f>M166/K166*100</f>
        <v>62.18870056497175</v>
      </c>
      <c r="P166" s="166">
        <f>H166+K166</f>
        <v>828.0150000000001</v>
      </c>
      <c r="Q166" s="166">
        <f>I166+M166</f>
        <v>471.26279</v>
      </c>
      <c r="R166" s="167">
        <f>Q166-P166</f>
        <v>-356.7522100000001</v>
      </c>
      <c r="S166" s="167">
        <f>Q166/P166*100</f>
        <v>56.914764829139564</v>
      </c>
      <c r="T166" s="129"/>
    </row>
    <row r="167" spans="3:20" s="7" customFormat="1" ht="44.25" customHeight="1">
      <c r="C167" s="32" t="s">
        <v>333</v>
      </c>
      <c r="D167" s="32" t="s">
        <v>567</v>
      </c>
      <c r="E167" s="32"/>
      <c r="F167" s="115"/>
      <c r="G167" s="33" t="s">
        <v>335</v>
      </c>
      <c r="H167" s="166">
        <f>H168</f>
        <v>5</v>
      </c>
      <c r="I167" s="166">
        <f>I168</f>
        <v>0</v>
      </c>
      <c r="J167" s="176">
        <f t="shared" si="20"/>
        <v>0</v>
      </c>
      <c r="K167" s="166"/>
      <c r="L167" s="166"/>
      <c r="M167" s="166"/>
      <c r="N167" s="166"/>
      <c r="O167" s="167"/>
      <c r="P167" s="166">
        <f>H167+K167</f>
        <v>5</v>
      </c>
      <c r="Q167" s="166">
        <f>I167+M167</f>
        <v>0</v>
      </c>
      <c r="R167" s="167">
        <f>Q167-P167</f>
        <v>-5</v>
      </c>
      <c r="S167" s="167">
        <f>Q167/P167*100</f>
        <v>0</v>
      </c>
      <c r="T167" s="129">
        <f>T168</f>
        <v>0</v>
      </c>
    </row>
    <row r="168" spans="3:20" s="39" customFormat="1" ht="82.5" customHeight="1">
      <c r="C168" s="35" t="s">
        <v>336</v>
      </c>
      <c r="D168" s="35" t="s">
        <v>568</v>
      </c>
      <c r="E168" s="35" t="s">
        <v>480</v>
      </c>
      <c r="F168" s="119" t="s">
        <v>334</v>
      </c>
      <c r="G168" s="45" t="s">
        <v>434</v>
      </c>
      <c r="H168" s="170">
        <v>5</v>
      </c>
      <c r="I168" s="170">
        <v>0</v>
      </c>
      <c r="J168" s="176">
        <f t="shared" si="20"/>
        <v>0</v>
      </c>
      <c r="K168" s="170"/>
      <c r="L168" s="170"/>
      <c r="M168" s="170"/>
      <c r="N168" s="170"/>
      <c r="O168" s="171"/>
      <c r="P168" s="166">
        <f>H168+K168</f>
        <v>5</v>
      </c>
      <c r="Q168" s="166">
        <f>I168+M168</f>
        <v>0</v>
      </c>
      <c r="R168" s="167">
        <f>Q168-P168</f>
        <v>-5</v>
      </c>
      <c r="S168" s="167">
        <f>Q168/P168*100</f>
        <v>0</v>
      </c>
      <c r="T168" s="133"/>
    </row>
    <row r="169" spans="3:22" s="50" customFormat="1" ht="29.25" customHeight="1">
      <c r="C169" s="30"/>
      <c r="D169" s="30"/>
      <c r="E169" s="30"/>
      <c r="F169" s="121"/>
      <c r="G169" s="64" t="s">
        <v>142</v>
      </c>
      <c r="H169" s="174">
        <f>H166+H167</f>
        <v>816.2</v>
      </c>
      <c r="I169" s="174">
        <f>I166+I167</f>
        <v>460.80576</v>
      </c>
      <c r="J169" s="176">
        <f t="shared" si="20"/>
        <v>56.457456505758394</v>
      </c>
      <c r="K169" s="174">
        <f aca="true" t="shared" si="25" ref="K169:T169">K166+K167</f>
        <v>16.815</v>
      </c>
      <c r="L169" s="174">
        <f t="shared" si="25"/>
        <v>0</v>
      </c>
      <c r="M169" s="174">
        <f t="shared" si="25"/>
        <v>10.45703</v>
      </c>
      <c r="N169" s="174">
        <f t="shared" si="25"/>
        <v>0</v>
      </c>
      <c r="O169" s="175">
        <f t="shared" si="25"/>
        <v>62.18870056497175</v>
      </c>
      <c r="P169" s="174">
        <f t="shared" si="25"/>
        <v>833.0150000000001</v>
      </c>
      <c r="Q169" s="174">
        <f t="shared" si="25"/>
        <v>471.26279</v>
      </c>
      <c r="R169" s="175">
        <f>Q169-P169</f>
        <v>-361.7522100000001</v>
      </c>
      <c r="S169" s="175">
        <f>Q169/P169*100</f>
        <v>56.573145741673315</v>
      </c>
      <c r="T169" s="63">
        <f t="shared" si="25"/>
        <v>0</v>
      </c>
      <c r="U169" s="53"/>
      <c r="V169" s="53"/>
    </row>
    <row r="170" spans="3:21" s="50" customFormat="1" ht="57" customHeight="1">
      <c r="C170" s="30" t="s">
        <v>173</v>
      </c>
      <c r="D170" s="30"/>
      <c r="E170" s="30"/>
      <c r="F170" s="121"/>
      <c r="G170" s="85" t="s">
        <v>422</v>
      </c>
      <c r="H170" s="174"/>
      <c r="I170" s="174"/>
      <c r="J170" s="176"/>
      <c r="K170" s="174"/>
      <c r="L170" s="174"/>
      <c r="M170" s="174"/>
      <c r="N170" s="174"/>
      <c r="O170" s="175"/>
      <c r="P170" s="174"/>
      <c r="Q170" s="174"/>
      <c r="R170" s="175"/>
      <c r="S170" s="175"/>
      <c r="T170" s="136"/>
      <c r="U170" s="53"/>
    </row>
    <row r="171" spans="3:21" s="7" customFormat="1" ht="57.75" customHeight="1">
      <c r="C171" s="151" t="s">
        <v>174</v>
      </c>
      <c r="D171" s="30"/>
      <c r="E171" s="30"/>
      <c r="F171" s="121"/>
      <c r="G171" s="31" t="s">
        <v>421</v>
      </c>
      <c r="H171" s="166"/>
      <c r="I171" s="166"/>
      <c r="J171" s="176"/>
      <c r="K171" s="166"/>
      <c r="L171" s="166"/>
      <c r="M171" s="166"/>
      <c r="N171" s="166"/>
      <c r="O171" s="167"/>
      <c r="P171" s="166"/>
      <c r="Q171" s="166"/>
      <c r="R171" s="167"/>
      <c r="S171" s="167"/>
      <c r="T171" s="129"/>
      <c r="U171" s="22"/>
    </row>
    <row r="172" spans="1:20" s="7" customFormat="1" ht="103.5" customHeight="1">
      <c r="A172" s="7">
        <v>7</v>
      </c>
      <c r="B172" s="7">
        <v>47</v>
      </c>
      <c r="C172" s="32" t="s">
        <v>313</v>
      </c>
      <c r="D172" s="32" t="s">
        <v>437</v>
      </c>
      <c r="E172" s="32" t="s">
        <v>438</v>
      </c>
      <c r="F172" s="115" t="s">
        <v>205</v>
      </c>
      <c r="G172" s="33" t="s">
        <v>40</v>
      </c>
      <c r="H172" s="168">
        <v>818.715</v>
      </c>
      <c r="I172" s="168">
        <v>455.7337</v>
      </c>
      <c r="J172" s="176">
        <f aca="true" t="shared" si="26" ref="J172:J235">I172/H172*100</f>
        <v>55.66451084931875</v>
      </c>
      <c r="K172" s="168"/>
      <c r="L172" s="168"/>
      <c r="M172" s="166"/>
      <c r="N172" s="166"/>
      <c r="O172" s="176"/>
      <c r="P172" s="168">
        <f>H172+K172</f>
        <v>818.715</v>
      </c>
      <c r="Q172" s="168">
        <f>I172+M172</f>
        <v>455.7337</v>
      </c>
      <c r="R172" s="176">
        <f>Q172-P172</f>
        <v>-362.98130000000003</v>
      </c>
      <c r="S172" s="176">
        <f>Q172/P172*100</f>
        <v>55.66451084931875</v>
      </c>
      <c r="T172" s="130"/>
    </row>
    <row r="173" spans="1:20" s="7" customFormat="1" ht="45" customHeight="1">
      <c r="A173" s="7">
        <v>1</v>
      </c>
      <c r="B173" s="7">
        <v>52</v>
      </c>
      <c r="C173" s="32" t="s">
        <v>128</v>
      </c>
      <c r="D173" s="32" t="s">
        <v>595</v>
      </c>
      <c r="E173" s="32" t="s">
        <v>480</v>
      </c>
      <c r="F173" s="115" t="s">
        <v>648</v>
      </c>
      <c r="G173" s="33" t="s">
        <v>643</v>
      </c>
      <c r="H173" s="166">
        <f>H174</f>
        <v>85</v>
      </c>
      <c r="I173" s="166">
        <f>I174</f>
        <v>13.624</v>
      </c>
      <c r="J173" s="176">
        <f t="shared" si="26"/>
        <v>16.02823529411765</v>
      </c>
      <c r="K173" s="166"/>
      <c r="L173" s="166"/>
      <c r="M173" s="166"/>
      <c r="N173" s="166"/>
      <c r="O173" s="169"/>
      <c r="P173" s="168">
        <f>H173+K173</f>
        <v>85</v>
      </c>
      <c r="Q173" s="168">
        <f>I173+M173</f>
        <v>13.624</v>
      </c>
      <c r="R173" s="176">
        <f>Q173-P173</f>
        <v>-71.376</v>
      </c>
      <c r="S173" s="176">
        <f>Q173/P173*100</f>
        <v>16.02823529411765</v>
      </c>
      <c r="T173" s="129"/>
    </row>
    <row r="174" spans="3:20" s="39" customFormat="1" ht="69" customHeight="1">
      <c r="C174" s="35" t="s">
        <v>637</v>
      </c>
      <c r="D174" s="35" t="s">
        <v>638</v>
      </c>
      <c r="E174" s="35" t="s">
        <v>480</v>
      </c>
      <c r="F174" s="119"/>
      <c r="G174" s="45" t="s">
        <v>647</v>
      </c>
      <c r="H174" s="170">
        <v>85</v>
      </c>
      <c r="I174" s="170">
        <v>13.624</v>
      </c>
      <c r="J174" s="176">
        <f t="shared" si="26"/>
        <v>16.02823529411765</v>
      </c>
      <c r="K174" s="170"/>
      <c r="L174" s="170"/>
      <c r="M174" s="170"/>
      <c r="N174" s="170"/>
      <c r="O174" s="172"/>
      <c r="P174" s="168">
        <f>H174+K174</f>
        <v>85</v>
      </c>
      <c r="Q174" s="168">
        <f>I174+M174</f>
        <v>13.624</v>
      </c>
      <c r="R174" s="176">
        <f>Q174-P174</f>
        <v>-71.376</v>
      </c>
      <c r="S174" s="176">
        <f>Q174/P174*100</f>
        <v>16.02823529411765</v>
      </c>
      <c r="T174" s="133"/>
    </row>
    <row r="175" spans="3:20" s="7" customFormat="1" ht="27" customHeight="1">
      <c r="C175" s="32"/>
      <c r="D175" s="32"/>
      <c r="E175" s="32"/>
      <c r="F175" s="115" t="s">
        <v>258</v>
      </c>
      <c r="G175" s="43" t="s">
        <v>259</v>
      </c>
      <c r="H175" s="166">
        <f>SUM(H177:H179)+H182+H183</f>
        <v>7807.37</v>
      </c>
      <c r="I175" s="166">
        <f>SUM(I177:I179)+I182+I183</f>
        <v>3861.34092</v>
      </c>
      <c r="J175" s="176">
        <f t="shared" si="26"/>
        <v>49.45763964049353</v>
      </c>
      <c r="K175" s="166">
        <f>SUM(K177:K183)</f>
        <v>664.04965</v>
      </c>
      <c r="L175" s="166"/>
      <c r="M175" s="166">
        <f>SUM(M177:M183)</f>
        <v>433.79783</v>
      </c>
      <c r="N175" s="166">
        <f>SUM(N177:N183)</f>
        <v>296.52164</v>
      </c>
      <c r="O175" s="167">
        <f>M175/K175*100</f>
        <v>65.32611379284666</v>
      </c>
      <c r="P175" s="166">
        <f>H175+K175</f>
        <v>8471.41965</v>
      </c>
      <c r="Q175" s="166">
        <f>I175+M175</f>
        <v>4295.13875</v>
      </c>
      <c r="R175" s="167">
        <f>Q175-P175</f>
        <v>-4176.2809</v>
      </c>
      <c r="S175" s="167">
        <f>Q175/P175*100</f>
        <v>50.70152261905713</v>
      </c>
      <c r="T175" s="129">
        <f>SUM(T177:T183)</f>
        <v>343.22</v>
      </c>
    </row>
    <row r="176" spans="3:22" s="7" customFormat="1" ht="28.5" customHeight="1">
      <c r="C176" s="32"/>
      <c r="D176" s="32"/>
      <c r="E176" s="32"/>
      <c r="F176" s="115" t="s">
        <v>258</v>
      </c>
      <c r="G176" s="33" t="s">
        <v>197</v>
      </c>
      <c r="H176" s="166">
        <f>SUM(H177:H179)+H182+H184</f>
        <v>7090.37</v>
      </c>
      <c r="I176" s="166">
        <f>SUM(I177:I179)+I182+I184</f>
        <v>3416.43103</v>
      </c>
      <c r="J176" s="176">
        <f t="shared" si="26"/>
        <v>48.18410082971693</v>
      </c>
      <c r="K176" s="166">
        <f>K177+K178+K179+K182+K184</f>
        <v>370.29965000000004</v>
      </c>
      <c r="L176" s="166">
        <f>L177+L178+L179+L182+L184</f>
        <v>0</v>
      </c>
      <c r="M176" s="166">
        <f>M177+M178+M179+M182+M184</f>
        <v>175.67783</v>
      </c>
      <c r="N176" s="166">
        <f>N177+N178+N179+N182+N184</f>
        <v>44.65164</v>
      </c>
      <c r="O176" s="167">
        <f>M176/K176*100</f>
        <v>47.44207292661496</v>
      </c>
      <c r="P176" s="166">
        <f aca="true" t="shared" si="27" ref="P176:P185">H176+K176</f>
        <v>7460.66965</v>
      </c>
      <c r="Q176" s="166">
        <f aca="true" t="shared" si="28" ref="Q176:Q185">I176+M176</f>
        <v>3592.1088600000003</v>
      </c>
      <c r="R176" s="167">
        <f aca="true" t="shared" si="29" ref="R176:R185">Q176-P176</f>
        <v>-3868.5607899999995</v>
      </c>
      <c r="S176" s="167">
        <f aca="true" t="shared" si="30" ref="S176:S185">Q176/P176*100</f>
        <v>48.14727133776792</v>
      </c>
      <c r="T176" s="129">
        <f>SUM(T177:T184)</f>
        <v>343.22</v>
      </c>
      <c r="U176" s="22"/>
      <c r="V176" s="22"/>
    </row>
    <row r="177" spans="1:20" s="7" customFormat="1" ht="24" customHeight="1">
      <c r="A177" s="7">
        <v>1</v>
      </c>
      <c r="B177" s="7">
        <v>48</v>
      </c>
      <c r="C177" s="32" t="s">
        <v>124</v>
      </c>
      <c r="D177" s="32" t="s">
        <v>584</v>
      </c>
      <c r="E177" s="32" t="s">
        <v>585</v>
      </c>
      <c r="F177" s="115" t="s">
        <v>244</v>
      </c>
      <c r="G177" s="43" t="s">
        <v>260</v>
      </c>
      <c r="H177" s="166">
        <v>783.587</v>
      </c>
      <c r="I177" s="166">
        <v>395.5509</v>
      </c>
      <c r="J177" s="176">
        <f t="shared" si="26"/>
        <v>50.4795128045769</v>
      </c>
      <c r="K177" s="166">
        <v>29.31465</v>
      </c>
      <c r="L177" s="166"/>
      <c r="M177" s="166">
        <v>29.31465</v>
      </c>
      <c r="N177" s="166">
        <v>0</v>
      </c>
      <c r="O177" s="167">
        <f>M177/K177*100</f>
        <v>100</v>
      </c>
      <c r="P177" s="166">
        <f t="shared" si="27"/>
        <v>812.90165</v>
      </c>
      <c r="Q177" s="166">
        <f t="shared" si="28"/>
        <v>424.86555</v>
      </c>
      <c r="R177" s="167">
        <f t="shared" si="29"/>
        <v>-388.03610000000003</v>
      </c>
      <c r="S177" s="167">
        <f t="shared" si="30"/>
        <v>52.26530786350353</v>
      </c>
      <c r="T177" s="129"/>
    </row>
    <row r="178" spans="1:20" s="7" customFormat="1" ht="29.25" customHeight="1">
      <c r="A178" s="7">
        <v>2</v>
      </c>
      <c r="B178" s="7">
        <v>49</v>
      </c>
      <c r="C178" s="32" t="s">
        <v>125</v>
      </c>
      <c r="D178" s="32" t="s">
        <v>586</v>
      </c>
      <c r="E178" s="32" t="s">
        <v>585</v>
      </c>
      <c r="F178" s="115" t="s">
        <v>248</v>
      </c>
      <c r="G178" s="33" t="s">
        <v>261</v>
      </c>
      <c r="H178" s="166">
        <v>567.719</v>
      </c>
      <c r="I178" s="166">
        <v>269.92407</v>
      </c>
      <c r="J178" s="176">
        <f t="shared" si="26"/>
        <v>47.54536487241046</v>
      </c>
      <c r="K178" s="166">
        <v>50</v>
      </c>
      <c r="L178" s="166"/>
      <c r="M178" s="166">
        <v>44.65164</v>
      </c>
      <c r="N178" s="166">
        <v>44.65164</v>
      </c>
      <c r="O178" s="167"/>
      <c r="P178" s="166">
        <f t="shared" si="27"/>
        <v>617.719</v>
      </c>
      <c r="Q178" s="166">
        <f t="shared" si="28"/>
        <v>314.57570999999996</v>
      </c>
      <c r="R178" s="167">
        <f t="shared" si="29"/>
        <v>-303.1432900000001</v>
      </c>
      <c r="S178" s="167">
        <f t="shared" si="30"/>
        <v>50.925373835028545</v>
      </c>
      <c r="T178" s="14">
        <v>50</v>
      </c>
    </row>
    <row r="179" spans="3:20" s="7" customFormat="1" ht="42" customHeight="1">
      <c r="C179" s="32" t="s">
        <v>587</v>
      </c>
      <c r="D179" s="32" t="s">
        <v>588</v>
      </c>
      <c r="E179" s="32" t="s">
        <v>589</v>
      </c>
      <c r="F179" s="115" t="s">
        <v>435</v>
      </c>
      <c r="G179" s="33" t="s">
        <v>741</v>
      </c>
      <c r="H179" s="166">
        <f>H180+H181</f>
        <v>517.254</v>
      </c>
      <c r="I179" s="166">
        <f>I180+I181</f>
        <v>175.9786</v>
      </c>
      <c r="J179" s="176">
        <f t="shared" si="26"/>
        <v>34.02169920387276</v>
      </c>
      <c r="K179" s="166"/>
      <c r="L179" s="166"/>
      <c r="M179" s="166"/>
      <c r="N179" s="166"/>
      <c r="O179" s="167"/>
      <c r="P179" s="166">
        <f t="shared" si="27"/>
        <v>517.254</v>
      </c>
      <c r="Q179" s="166">
        <f t="shared" si="28"/>
        <v>175.9786</v>
      </c>
      <c r="R179" s="167">
        <f t="shared" si="29"/>
        <v>-341.2754</v>
      </c>
      <c r="S179" s="167">
        <f t="shared" si="30"/>
        <v>34.02169920387276</v>
      </c>
      <c r="T179" s="129"/>
    </row>
    <row r="180" spans="3:20" s="7" customFormat="1" ht="42" customHeight="1">
      <c r="C180" s="32"/>
      <c r="D180" s="32"/>
      <c r="E180" s="32"/>
      <c r="F180" s="115"/>
      <c r="G180" s="45" t="s">
        <v>742</v>
      </c>
      <c r="H180" s="166">
        <v>502.254</v>
      </c>
      <c r="I180" s="166">
        <v>175.9786</v>
      </c>
      <c r="J180" s="176"/>
      <c r="K180" s="166">
        <v>23.5</v>
      </c>
      <c r="L180" s="166"/>
      <c r="M180" s="166"/>
      <c r="N180" s="166"/>
      <c r="O180" s="167"/>
      <c r="P180" s="166">
        <f t="shared" si="27"/>
        <v>525.754</v>
      </c>
      <c r="Q180" s="166"/>
      <c r="R180" s="167"/>
      <c r="S180" s="167"/>
      <c r="T180" s="129"/>
    </row>
    <row r="181" spans="3:20" s="7" customFormat="1" ht="42" customHeight="1">
      <c r="C181" s="32"/>
      <c r="D181" s="32"/>
      <c r="E181" s="32"/>
      <c r="F181" s="115"/>
      <c r="G181" s="45" t="s">
        <v>651</v>
      </c>
      <c r="H181" s="166">
        <v>15</v>
      </c>
      <c r="I181" s="166"/>
      <c r="J181" s="176"/>
      <c r="K181" s="166"/>
      <c r="L181" s="166"/>
      <c r="M181" s="166"/>
      <c r="N181" s="166"/>
      <c r="O181" s="167"/>
      <c r="P181" s="166"/>
      <c r="Q181" s="166"/>
      <c r="R181" s="167"/>
      <c r="S181" s="167"/>
      <c r="T181" s="129"/>
    </row>
    <row r="182" spans="1:20" s="7" customFormat="1" ht="33.75" customHeight="1">
      <c r="A182" s="7">
        <v>3</v>
      </c>
      <c r="B182" s="7">
        <v>50</v>
      </c>
      <c r="C182" s="32" t="s">
        <v>127</v>
      </c>
      <c r="D182" s="32" t="s">
        <v>590</v>
      </c>
      <c r="E182" s="32" t="s">
        <v>464</v>
      </c>
      <c r="F182" s="115" t="s">
        <v>245</v>
      </c>
      <c r="G182" s="43" t="s">
        <v>126</v>
      </c>
      <c r="H182" s="166">
        <v>4615.521</v>
      </c>
      <c r="I182" s="166">
        <v>2300.44971</v>
      </c>
      <c r="J182" s="176">
        <f t="shared" si="26"/>
        <v>49.84160423059499</v>
      </c>
      <c r="K182" s="166">
        <f>185.985+105</f>
        <v>290.985</v>
      </c>
      <c r="L182" s="166"/>
      <c r="M182" s="166">
        <v>101.71154</v>
      </c>
      <c r="N182" s="166">
        <v>0</v>
      </c>
      <c r="O182" s="167">
        <f>M182/K182*100</f>
        <v>34.95422100795573</v>
      </c>
      <c r="P182" s="166">
        <f t="shared" si="27"/>
        <v>4906.505999999999</v>
      </c>
      <c r="Q182" s="166">
        <f t="shared" si="28"/>
        <v>2402.1612499999997</v>
      </c>
      <c r="R182" s="167">
        <f t="shared" si="29"/>
        <v>-2504.3447499999997</v>
      </c>
      <c r="S182" s="167">
        <f t="shared" si="30"/>
        <v>48.95869382407766</v>
      </c>
      <c r="T182" s="129">
        <v>105</v>
      </c>
    </row>
    <row r="183" spans="1:20" s="7" customFormat="1" ht="32.25" customHeight="1">
      <c r="A183" s="7">
        <v>4</v>
      </c>
      <c r="B183" s="7">
        <v>51</v>
      </c>
      <c r="C183" s="5" t="s">
        <v>276</v>
      </c>
      <c r="D183" s="5" t="s">
        <v>591</v>
      </c>
      <c r="E183" s="5" t="s">
        <v>592</v>
      </c>
      <c r="F183" s="115" t="s">
        <v>246</v>
      </c>
      <c r="G183" s="43" t="s">
        <v>122</v>
      </c>
      <c r="H183" s="166">
        <f>SUM(H184:H186)</f>
        <v>1323.289</v>
      </c>
      <c r="I183" s="166">
        <f>SUM(I184:I186)</f>
        <v>719.43764</v>
      </c>
      <c r="J183" s="176">
        <f t="shared" si="26"/>
        <v>54.36738611142389</v>
      </c>
      <c r="K183" s="166">
        <f>SUM(K184:K185)</f>
        <v>270.25</v>
      </c>
      <c r="L183" s="166">
        <f>SUM(L184:L185)</f>
        <v>0</v>
      </c>
      <c r="M183" s="166">
        <f>SUM(M184:M185)</f>
        <v>258.12</v>
      </c>
      <c r="N183" s="166">
        <f>SUM(N184:N185)</f>
        <v>251.87</v>
      </c>
      <c r="O183" s="167">
        <f>M183/K183*100</f>
        <v>95.51156336725255</v>
      </c>
      <c r="P183" s="166">
        <f t="shared" si="27"/>
        <v>1593.539</v>
      </c>
      <c r="Q183" s="166">
        <f t="shared" si="28"/>
        <v>977.55764</v>
      </c>
      <c r="R183" s="167">
        <f t="shared" si="29"/>
        <v>-615.98136</v>
      </c>
      <c r="S183" s="167">
        <f t="shared" si="30"/>
        <v>61.34507156712199</v>
      </c>
      <c r="T183" s="129">
        <f>SUM(T184:T185)</f>
        <v>188.22</v>
      </c>
    </row>
    <row r="184" spans="3:20" s="39" customFormat="1" ht="45" customHeight="1">
      <c r="C184" s="36" t="s">
        <v>277</v>
      </c>
      <c r="D184" s="36" t="s">
        <v>593</v>
      </c>
      <c r="E184" s="36" t="s">
        <v>592</v>
      </c>
      <c r="F184" s="119"/>
      <c r="G184" s="37" t="s">
        <v>4</v>
      </c>
      <c r="H184" s="170">
        <v>606.289</v>
      </c>
      <c r="I184" s="170">
        <v>274.52775</v>
      </c>
      <c r="J184" s="176">
        <f t="shared" si="26"/>
        <v>45.28001497635616</v>
      </c>
      <c r="K184" s="170"/>
      <c r="L184" s="170"/>
      <c r="M184" s="166"/>
      <c r="N184" s="166"/>
      <c r="O184" s="171"/>
      <c r="P184" s="166">
        <f t="shared" si="27"/>
        <v>606.289</v>
      </c>
      <c r="Q184" s="166">
        <f t="shared" si="28"/>
        <v>274.52775</v>
      </c>
      <c r="R184" s="167">
        <f t="shared" si="29"/>
        <v>-331.76124999999996</v>
      </c>
      <c r="S184" s="167">
        <f t="shared" si="30"/>
        <v>45.28001497635616</v>
      </c>
      <c r="T184" s="133"/>
    </row>
    <row r="185" spans="3:20" s="39" customFormat="1" ht="65.25" customHeight="1">
      <c r="C185" s="36" t="s">
        <v>278</v>
      </c>
      <c r="D185" s="36" t="s">
        <v>594</v>
      </c>
      <c r="E185" s="36" t="s">
        <v>592</v>
      </c>
      <c r="F185" s="119"/>
      <c r="G185" s="45" t="s">
        <v>112</v>
      </c>
      <c r="H185" s="170">
        <v>617</v>
      </c>
      <c r="I185" s="170">
        <v>348.17688</v>
      </c>
      <c r="J185" s="176">
        <f t="shared" si="26"/>
        <v>56.43061264181524</v>
      </c>
      <c r="K185" s="170">
        <v>270.25</v>
      </c>
      <c r="L185" s="170"/>
      <c r="M185" s="166">
        <f>6.25+251.87</f>
        <v>258.12</v>
      </c>
      <c r="N185" s="166">
        <v>251.87</v>
      </c>
      <c r="O185" s="171"/>
      <c r="P185" s="166">
        <f t="shared" si="27"/>
        <v>887.25</v>
      </c>
      <c r="Q185" s="166">
        <f t="shared" si="28"/>
        <v>606.29688</v>
      </c>
      <c r="R185" s="167">
        <f t="shared" si="29"/>
        <v>-280.95312</v>
      </c>
      <c r="S185" s="167">
        <f t="shared" si="30"/>
        <v>68.33439053254438</v>
      </c>
      <c r="T185" s="133">
        <v>188.22</v>
      </c>
    </row>
    <row r="186" spans="3:20" s="39" customFormat="1" ht="65.25" customHeight="1">
      <c r="C186" s="36" t="s">
        <v>743</v>
      </c>
      <c r="D186" s="36" t="s">
        <v>744</v>
      </c>
      <c r="E186" s="36" t="s">
        <v>592</v>
      </c>
      <c r="F186" s="119"/>
      <c r="G186" s="45" t="s">
        <v>745</v>
      </c>
      <c r="H186" s="170">
        <v>100</v>
      </c>
      <c r="I186" s="170">
        <v>96.73301</v>
      </c>
      <c r="J186" s="176"/>
      <c r="K186" s="170"/>
      <c r="L186" s="170"/>
      <c r="M186" s="166"/>
      <c r="N186" s="166"/>
      <c r="O186" s="171"/>
      <c r="P186" s="166">
        <f>H186+K186</f>
        <v>100</v>
      </c>
      <c r="Q186" s="166">
        <f>I186+M186</f>
        <v>96.73301</v>
      </c>
      <c r="R186" s="167">
        <f>Q186-P186</f>
        <v>-3.266990000000007</v>
      </c>
      <c r="S186" s="167">
        <f>Q186/P186*100</f>
        <v>96.73301</v>
      </c>
      <c r="T186" s="133"/>
    </row>
    <row r="187" spans="3:20" s="7" customFormat="1" ht="36.75" customHeight="1">
      <c r="C187" s="32" t="s">
        <v>697</v>
      </c>
      <c r="D187" s="32" t="s">
        <v>596</v>
      </c>
      <c r="E187" s="32"/>
      <c r="F187" s="115" t="s">
        <v>201</v>
      </c>
      <c r="G187" s="33" t="s">
        <v>200</v>
      </c>
      <c r="H187" s="166">
        <f>SUM(H190:H193)+H198</f>
        <v>2928.515</v>
      </c>
      <c r="I187" s="166">
        <f>SUM(I190:I193)+I198</f>
        <v>1265.46486</v>
      </c>
      <c r="J187" s="176">
        <f t="shared" si="26"/>
        <v>43.21182783765834</v>
      </c>
      <c r="K187" s="166"/>
      <c r="L187" s="166"/>
      <c r="M187" s="166"/>
      <c r="N187" s="166"/>
      <c r="O187" s="167"/>
      <c r="P187" s="166">
        <f aca="true" t="shared" si="31" ref="P187:P200">H187+K187</f>
        <v>2928.515</v>
      </c>
      <c r="Q187" s="166">
        <f aca="true" t="shared" si="32" ref="Q187:Q200">I187+M187</f>
        <v>1265.46486</v>
      </c>
      <c r="R187" s="167">
        <f aca="true" t="shared" si="33" ref="R187:R200">Q187-P187</f>
        <v>-1663.0501399999998</v>
      </c>
      <c r="S187" s="167">
        <f aca="true" t="shared" si="34" ref="S187:S200">Q187/P187*100</f>
        <v>43.21182783765834</v>
      </c>
      <c r="T187" s="129">
        <f>SUM(T189:T193)</f>
        <v>0</v>
      </c>
    </row>
    <row r="188" spans="1:21" s="7" customFormat="1" ht="32.25" customHeight="1">
      <c r="A188" s="7">
        <v>1</v>
      </c>
      <c r="B188" s="7">
        <v>53</v>
      </c>
      <c r="C188" s="32" t="s">
        <v>175</v>
      </c>
      <c r="D188" s="32" t="s">
        <v>597</v>
      </c>
      <c r="E188" s="32"/>
      <c r="F188" s="115"/>
      <c r="G188" s="33" t="s">
        <v>176</v>
      </c>
      <c r="H188" s="166">
        <f>H189+H192</f>
        <v>300.254</v>
      </c>
      <c r="I188" s="166">
        <f>I189+I192</f>
        <v>131.64524</v>
      </c>
      <c r="J188" s="176">
        <f t="shared" si="26"/>
        <v>43.844624884264654</v>
      </c>
      <c r="K188" s="166"/>
      <c r="L188" s="166"/>
      <c r="M188" s="166"/>
      <c r="N188" s="166"/>
      <c r="O188" s="167"/>
      <c r="P188" s="166">
        <f t="shared" si="31"/>
        <v>300.254</v>
      </c>
      <c r="Q188" s="166">
        <f t="shared" si="32"/>
        <v>131.64524</v>
      </c>
      <c r="R188" s="167">
        <f t="shared" si="33"/>
        <v>-168.60876000000002</v>
      </c>
      <c r="S188" s="167">
        <f t="shared" si="34"/>
        <v>43.844624884264654</v>
      </c>
      <c r="T188" s="129">
        <f>SUM(T189:T192)</f>
        <v>0</v>
      </c>
      <c r="U188" s="22"/>
    </row>
    <row r="189" spans="3:21" s="39" customFormat="1" ht="59.25" customHeight="1">
      <c r="C189" s="35" t="s">
        <v>129</v>
      </c>
      <c r="D189" s="35" t="s">
        <v>598</v>
      </c>
      <c r="E189" s="35" t="s">
        <v>599</v>
      </c>
      <c r="F189" s="119" t="s">
        <v>282</v>
      </c>
      <c r="G189" s="45" t="s">
        <v>325</v>
      </c>
      <c r="H189" s="170">
        <f>SUM(H190:H191)</f>
        <v>173.224</v>
      </c>
      <c r="I189" s="170">
        <f>SUM(I190:I191)</f>
        <v>68.1444</v>
      </c>
      <c r="J189" s="176">
        <f t="shared" si="26"/>
        <v>39.33889068489355</v>
      </c>
      <c r="K189" s="170"/>
      <c r="L189" s="170"/>
      <c r="M189" s="170"/>
      <c r="N189" s="170"/>
      <c r="O189" s="172"/>
      <c r="P189" s="166">
        <f t="shared" si="31"/>
        <v>173.224</v>
      </c>
      <c r="Q189" s="166">
        <f t="shared" si="32"/>
        <v>68.1444</v>
      </c>
      <c r="R189" s="167">
        <f t="shared" si="33"/>
        <v>-105.07959999999999</v>
      </c>
      <c r="S189" s="167">
        <f t="shared" si="34"/>
        <v>39.33889068489355</v>
      </c>
      <c r="T189" s="133"/>
      <c r="U189" s="54"/>
    </row>
    <row r="190" spans="3:20" s="39" customFormat="1" ht="60" customHeight="1">
      <c r="C190" s="35"/>
      <c r="D190" s="35"/>
      <c r="E190" s="35"/>
      <c r="F190" s="119"/>
      <c r="G190" s="45" t="s">
        <v>139</v>
      </c>
      <c r="H190" s="170">
        <v>173.224</v>
      </c>
      <c r="I190" s="170">
        <v>68.1444</v>
      </c>
      <c r="J190" s="176">
        <f t="shared" si="26"/>
        <v>39.33889068489355</v>
      </c>
      <c r="K190" s="170"/>
      <c r="L190" s="170"/>
      <c r="M190" s="170"/>
      <c r="N190" s="170"/>
      <c r="O190" s="172"/>
      <c r="P190" s="166">
        <f t="shared" si="31"/>
        <v>173.224</v>
      </c>
      <c r="Q190" s="166">
        <f t="shared" si="32"/>
        <v>68.1444</v>
      </c>
      <c r="R190" s="167">
        <f t="shared" si="33"/>
        <v>-105.07959999999999</v>
      </c>
      <c r="S190" s="167">
        <f t="shared" si="34"/>
        <v>39.33889068489355</v>
      </c>
      <c r="T190" s="133"/>
    </row>
    <row r="191" spans="3:20" s="39" customFormat="1" ht="42.75" customHeight="1" hidden="1">
      <c r="C191" s="35"/>
      <c r="D191" s="35"/>
      <c r="E191" s="35"/>
      <c r="F191" s="119"/>
      <c r="G191" s="45" t="s">
        <v>117</v>
      </c>
      <c r="H191" s="170">
        <f>I191+L191</f>
        <v>0</v>
      </c>
      <c r="I191" s="170"/>
      <c r="J191" s="176" t="e">
        <f t="shared" si="26"/>
        <v>#DIV/0!</v>
      </c>
      <c r="K191" s="170"/>
      <c r="L191" s="170"/>
      <c r="M191" s="170"/>
      <c r="N191" s="170"/>
      <c r="O191" s="172"/>
      <c r="P191" s="166">
        <f t="shared" si="31"/>
        <v>0</v>
      </c>
      <c r="Q191" s="166">
        <f t="shared" si="32"/>
        <v>0</v>
      </c>
      <c r="R191" s="167">
        <f t="shared" si="33"/>
        <v>0</v>
      </c>
      <c r="S191" s="167" t="e">
        <f t="shared" si="34"/>
        <v>#DIV/0!</v>
      </c>
      <c r="T191" s="133"/>
    </row>
    <row r="192" spans="3:20" s="39" customFormat="1" ht="87" customHeight="1">
      <c r="C192" s="35" t="s">
        <v>130</v>
      </c>
      <c r="D192" s="35" t="s">
        <v>600</v>
      </c>
      <c r="E192" s="35" t="s">
        <v>599</v>
      </c>
      <c r="F192" s="119" t="s">
        <v>199</v>
      </c>
      <c r="G192" s="45" t="s">
        <v>111</v>
      </c>
      <c r="H192" s="170">
        <v>127.03</v>
      </c>
      <c r="I192" s="170">
        <v>63.50084</v>
      </c>
      <c r="J192" s="176">
        <f t="shared" si="26"/>
        <v>49.98885302684405</v>
      </c>
      <c r="K192" s="170"/>
      <c r="L192" s="170"/>
      <c r="M192" s="170"/>
      <c r="N192" s="170"/>
      <c r="O192" s="172"/>
      <c r="P192" s="166">
        <f t="shared" si="31"/>
        <v>127.03</v>
      </c>
      <c r="Q192" s="166">
        <f t="shared" si="32"/>
        <v>63.50084</v>
      </c>
      <c r="R192" s="167">
        <f t="shared" si="33"/>
        <v>-63.529160000000005</v>
      </c>
      <c r="S192" s="167">
        <f t="shared" si="34"/>
        <v>49.98885302684405</v>
      </c>
      <c r="T192" s="133"/>
    </row>
    <row r="193" spans="1:21" s="7" customFormat="1" ht="32.25" customHeight="1">
      <c r="A193" s="7">
        <v>3</v>
      </c>
      <c r="B193" s="7">
        <v>55</v>
      </c>
      <c r="C193" s="32" t="s">
        <v>655</v>
      </c>
      <c r="D193" s="32" t="s">
        <v>656</v>
      </c>
      <c r="E193" s="32"/>
      <c r="F193" s="115"/>
      <c r="G193" s="33" t="s">
        <v>657</v>
      </c>
      <c r="H193" s="166">
        <f>H194</f>
        <v>2428.515</v>
      </c>
      <c r="I193" s="166">
        <f>I194</f>
        <v>1084.23662</v>
      </c>
      <c r="J193" s="176">
        <f t="shared" si="26"/>
        <v>44.64607465879354</v>
      </c>
      <c r="K193" s="166"/>
      <c r="L193" s="166"/>
      <c r="M193" s="166"/>
      <c r="N193" s="166"/>
      <c r="O193" s="167"/>
      <c r="P193" s="166">
        <f t="shared" si="31"/>
        <v>2428.515</v>
      </c>
      <c r="Q193" s="166">
        <f t="shared" si="32"/>
        <v>1084.23662</v>
      </c>
      <c r="R193" s="167">
        <f t="shared" si="33"/>
        <v>-1344.27838</v>
      </c>
      <c r="S193" s="167">
        <f t="shared" si="34"/>
        <v>44.64607465879354</v>
      </c>
      <c r="T193" s="14">
        <f>T194</f>
        <v>0</v>
      </c>
      <c r="U193" s="22"/>
    </row>
    <row r="194" spans="3:20" s="39" customFormat="1" ht="45.75" customHeight="1">
      <c r="C194" s="35" t="s">
        <v>658</v>
      </c>
      <c r="D194" s="35" t="s">
        <v>659</v>
      </c>
      <c r="E194" s="35" t="s">
        <v>599</v>
      </c>
      <c r="F194" s="119" t="s">
        <v>207</v>
      </c>
      <c r="G194" s="37" t="s">
        <v>602</v>
      </c>
      <c r="H194" s="170">
        <v>2428.515</v>
      </c>
      <c r="I194" s="170">
        <v>1084.23662</v>
      </c>
      <c r="J194" s="176">
        <f t="shared" si="26"/>
        <v>44.64607465879354</v>
      </c>
      <c r="K194" s="170"/>
      <c r="L194" s="170"/>
      <c r="M194" s="166"/>
      <c r="N194" s="166"/>
      <c r="O194" s="171"/>
      <c r="P194" s="166">
        <f t="shared" si="31"/>
        <v>2428.515</v>
      </c>
      <c r="Q194" s="166">
        <f t="shared" si="32"/>
        <v>1084.23662</v>
      </c>
      <c r="R194" s="167">
        <f t="shared" si="33"/>
        <v>-1344.27838</v>
      </c>
      <c r="S194" s="167">
        <f t="shared" si="34"/>
        <v>44.64607465879354</v>
      </c>
      <c r="T194" s="133"/>
    </row>
    <row r="195" spans="2:20" s="39" customFormat="1" ht="64.5" customHeight="1" hidden="1">
      <c r="B195" s="88">
        <v>56</v>
      </c>
      <c r="C195" s="32" t="s">
        <v>314</v>
      </c>
      <c r="D195" s="32"/>
      <c r="E195" s="32"/>
      <c r="F195" s="115" t="s">
        <v>3</v>
      </c>
      <c r="G195" s="42" t="s">
        <v>123</v>
      </c>
      <c r="H195" s="170">
        <f>SUM(H196:H197)</f>
        <v>0</v>
      </c>
      <c r="I195" s="170">
        <f>SUM(I196:I197)</f>
        <v>0</v>
      </c>
      <c r="J195" s="176" t="e">
        <f t="shared" si="26"/>
        <v>#DIV/0!</v>
      </c>
      <c r="K195" s="170"/>
      <c r="L195" s="170"/>
      <c r="M195" s="166"/>
      <c r="N195" s="166"/>
      <c r="O195" s="171">
        <f>SUM(O196:O197)</f>
        <v>0</v>
      </c>
      <c r="P195" s="166">
        <f t="shared" si="31"/>
        <v>0</v>
      </c>
      <c r="Q195" s="166">
        <f t="shared" si="32"/>
        <v>0</v>
      </c>
      <c r="R195" s="167">
        <f t="shared" si="33"/>
        <v>0</v>
      </c>
      <c r="S195" s="167" t="e">
        <f t="shared" si="34"/>
        <v>#DIV/0!</v>
      </c>
      <c r="T195" s="133">
        <f>SUM(T196:T197)</f>
        <v>0</v>
      </c>
    </row>
    <row r="196" spans="3:20" s="39" customFormat="1" ht="64.5" customHeight="1" hidden="1">
      <c r="C196" s="35" t="s">
        <v>315</v>
      </c>
      <c r="D196" s="35"/>
      <c r="E196" s="35"/>
      <c r="F196" s="119"/>
      <c r="G196" s="52" t="s">
        <v>63</v>
      </c>
      <c r="H196" s="170"/>
      <c r="I196" s="170"/>
      <c r="J196" s="176" t="e">
        <f t="shared" si="26"/>
        <v>#DIV/0!</v>
      </c>
      <c r="K196" s="170"/>
      <c r="L196" s="170"/>
      <c r="M196" s="166"/>
      <c r="N196" s="166"/>
      <c r="O196" s="171"/>
      <c r="P196" s="166">
        <f t="shared" si="31"/>
        <v>0</v>
      </c>
      <c r="Q196" s="166">
        <f t="shared" si="32"/>
        <v>0</v>
      </c>
      <c r="R196" s="167">
        <f t="shared" si="33"/>
        <v>0</v>
      </c>
      <c r="S196" s="167" t="e">
        <f t="shared" si="34"/>
        <v>#DIV/0!</v>
      </c>
      <c r="T196" s="133"/>
    </row>
    <row r="197" spans="3:20" s="39" customFormat="1" ht="52.5" customHeight="1" hidden="1">
      <c r="C197" s="35" t="s">
        <v>196</v>
      </c>
      <c r="D197" s="35"/>
      <c r="E197" s="35"/>
      <c r="F197" s="119"/>
      <c r="G197" s="52" t="s">
        <v>191</v>
      </c>
      <c r="H197" s="170"/>
      <c r="I197" s="170"/>
      <c r="J197" s="176" t="e">
        <f t="shared" si="26"/>
        <v>#DIV/0!</v>
      </c>
      <c r="K197" s="170"/>
      <c r="L197" s="170"/>
      <c r="M197" s="166"/>
      <c r="N197" s="166"/>
      <c r="O197" s="171"/>
      <c r="P197" s="166">
        <f t="shared" si="31"/>
        <v>0</v>
      </c>
      <c r="Q197" s="166">
        <f t="shared" si="32"/>
        <v>0</v>
      </c>
      <c r="R197" s="167">
        <f t="shared" si="33"/>
        <v>0</v>
      </c>
      <c r="S197" s="167" t="e">
        <f t="shared" si="34"/>
        <v>#DIV/0!</v>
      </c>
      <c r="T197" s="133"/>
    </row>
    <row r="198" spans="1:20" s="7" customFormat="1" ht="45" customHeight="1">
      <c r="A198" s="7">
        <v>2</v>
      </c>
      <c r="B198" s="7">
        <v>54</v>
      </c>
      <c r="C198" s="32" t="s">
        <v>131</v>
      </c>
      <c r="D198" s="32" t="s">
        <v>601</v>
      </c>
      <c r="E198" s="32" t="s">
        <v>599</v>
      </c>
      <c r="F198" s="115" t="s">
        <v>267</v>
      </c>
      <c r="G198" s="33" t="s">
        <v>641</v>
      </c>
      <c r="H198" s="166">
        <f>H199</f>
        <v>199.746</v>
      </c>
      <c r="I198" s="166">
        <f>I199</f>
        <v>49.583</v>
      </c>
      <c r="J198" s="176">
        <f t="shared" si="26"/>
        <v>24.823025242057412</v>
      </c>
      <c r="K198" s="166"/>
      <c r="L198" s="166"/>
      <c r="M198" s="166"/>
      <c r="N198" s="166"/>
      <c r="O198" s="169"/>
      <c r="P198" s="166">
        <f t="shared" si="31"/>
        <v>199.746</v>
      </c>
      <c r="Q198" s="166">
        <f t="shared" si="32"/>
        <v>49.583</v>
      </c>
      <c r="R198" s="167">
        <f t="shared" si="33"/>
        <v>-150.163</v>
      </c>
      <c r="S198" s="167">
        <f t="shared" si="34"/>
        <v>24.823025242057412</v>
      </c>
      <c r="T198" s="129"/>
    </row>
    <row r="199" spans="3:20" s="7" customFormat="1" ht="119.25" customHeight="1">
      <c r="C199" s="32" t="s">
        <v>639</v>
      </c>
      <c r="D199" s="32" t="s">
        <v>640</v>
      </c>
      <c r="E199" s="32" t="s">
        <v>599</v>
      </c>
      <c r="F199" s="115"/>
      <c r="G199" s="33" t="s">
        <v>642</v>
      </c>
      <c r="H199" s="166">
        <v>199.746</v>
      </c>
      <c r="I199" s="166">
        <v>49.583</v>
      </c>
      <c r="J199" s="176">
        <f t="shared" si="26"/>
        <v>24.823025242057412</v>
      </c>
      <c r="K199" s="166"/>
      <c r="L199" s="166"/>
      <c r="M199" s="166"/>
      <c r="N199" s="166"/>
      <c r="O199" s="169"/>
      <c r="P199" s="166">
        <f t="shared" si="31"/>
        <v>199.746</v>
      </c>
      <c r="Q199" s="166">
        <f t="shared" si="32"/>
        <v>49.583</v>
      </c>
      <c r="R199" s="167">
        <f t="shared" si="33"/>
        <v>-150.163</v>
      </c>
      <c r="S199" s="167">
        <f t="shared" si="34"/>
        <v>24.823025242057412</v>
      </c>
      <c r="T199" s="129"/>
    </row>
    <row r="200" spans="3:22" s="50" customFormat="1" ht="45" customHeight="1">
      <c r="C200" s="30"/>
      <c r="D200" s="30"/>
      <c r="E200" s="30"/>
      <c r="F200" s="121"/>
      <c r="G200" s="48" t="s">
        <v>142</v>
      </c>
      <c r="H200" s="174">
        <f>H193+H198+H188+H175+H172+H173+H195</f>
        <v>11639.6</v>
      </c>
      <c r="I200" s="174">
        <f>I193+I198+I188+I175+I172+I173+I195</f>
        <v>5596.16348</v>
      </c>
      <c r="J200" s="176">
        <f t="shared" si="26"/>
        <v>48.07865802948555</v>
      </c>
      <c r="K200" s="174">
        <f>K193+K198+K188+K175+K172+K173+K195</f>
        <v>664.04965</v>
      </c>
      <c r="L200" s="174">
        <f>L193+L198+L188+L175+L172+L173+L195</f>
        <v>0</v>
      </c>
      <c r="M200" s="174">
        <f>M193+M198+M188+M175+M172+M173+M195</f>
        <v>433.79783</v>
      </c>
      <c r="N200" s="174">
        <f>N193+N198+N188+N175+N172+N173+N195</f>
        <v>296.52164</v>
      </c>
      <c r="O200" s="175">
        <f>O193+O198+O188+O175+O172+O173+O195</f>
        <v>65.32611379284666</v>
      </c>
      <c r="P200" s="174">
        <f t="shared" si="31"/>
        <v>12303.649650000001</v>
      </c>
      <c r="Q200" s="174">
        <f t="shared" si="32"/>
        <v>6029.961310000001</v>
      </c>
      <c r="R200" s="175">
        <f t="shared" si="33"/>
        <v>-6273.688340000001</v>
      </c>
      <c r="S200" s="175">
        <f t="shared" si="34"/>
        <v>49.00953360615238</v>
      </c>
      <c r="T200" s="136">
        <f>T193+T198+T188+T175+T172+T173+T195</f>
        <v>343.22</v>
      </c>
      <c r="U200" s="53"/>
      <c r="V200" s="53"/>
    </row>
    <row r="201" spans="3:21" s="7" customFormat="1" ht="58.5" customHeight="1">
      <c r="C201" s="30" t="s">
        <v>163</v>
      </c>
      <c r="D201" s="32"/>
      <c r="E201" s="32"/>
      <c r="F201" s="115"/>
      <c r="G201" s="85" t="s">
        <v>166</v>
      </c>
      <c r="H201" s="166"/>
      <c r="I201" s="166"/>
      <c r="J201" s="176"/>
      <c r="K201" s="166"/>
      <c r="L201" s="166"/>
      <c r="M201" s="170"/>
      <c r="N201" s="170"/>
      <c r="O201" s="167"/>
      <c r="P201" s="166"/>
      <c r="Q201" s="166"/>
      <c r="R201" s="167"/>
      <c r="S201" s="167"/>
      <c r="T201" s="129"/>
      <c r="U201" s="22"/>
    </row>
    <row r="202" spans="3:21" s="7" customFormat="1" ht="75" customHeight="1">
      <c r="C202" s="151" t="s">
        <v>164</v>
      </c>
      <c r="D202" s="32"/>
      <c r="E202" s="32"/>
      <c r="F202" s="115"/>
      <c r="G202" s="31" t="s">
        <v>165</v>
      </c>
      <c r="H202" s="166"/>
      <c r="I202" s="166"/>
      <c r="J202" s="176"/>
      <c r="K202" s="166"/>
      <c r="L202" s="166"/>
      <c r="M202" s="170"/>
      <c r="N202" s="170"/>
      <c r="O202" s="167"/>
      <c r="P202" s="166"/>
      <c r="Q202" s="166"/>
      <c r="R202" s="167"/>
      <c r="S202" s="167"/>
      <c r="T202" s="129"/>
      <c r="U202" s="22"/>
    </row>
    <row r="203" spans="1:20" s="7" customFormat="1" ht="117.75" customHeight="1">
      <c r="A203" s="7">
        <v>5</v>
      </c>
      <c r="B203" s="7">
        <v>36</v>
      </c>
      <c r="C203" s="32" t="s">
        <v>309</v>
      </c>
      <c r="D203" s="32" t="s">
        <v>437</v>
      </c>
      <c r="E203" s="32" t="s">
        <v>438</v>
      </c>
      <c r="F203" s="115" t="s">
        <v>205</v>
      </c>
      <c r="G203" s="33" t="s">
        <v>622</v>
      </c>
      <c r="H203" s="168">
        <f>2994.3+85.1</f>
        <v>3079.4</v>
      </c>
      <c r="I203" s="168">
        <v>1295.31382</v>
      </c>
      <c r="J203" s="176">
        <f t="shared" si="26"/>
        <v>42.063837760602716</v>
      </c>
      <c r="K203" s="168"/>
      <c r="L203" s="168"/>
      <c r="M203" s="166"/>
      <c r="N203" s="166"/>
      <c r="O203" s="176"/>
      <c r="P203" s="168">
        <f>H203+K203</f>
        <v>3079.4</v>
      </c>
      <c r="Q203" s="168">
        <f>I203+M203</f>
        <v>1295.31382</v>
      </c>
      <c r="R203" s="176">
        <f>Q203-P203</f>
        <v>-1784.08618</v>
      </c>
      <c r="S203" s="176">
        <f>Q203/P203*100</f>
        <v>42.063837760602716</v>
      </c>
      <c r="T203" s="130"/>
    </row>
    <row r="204" spans="3:20" s="7" customFormat="1" ht="43.5" customHeight="1">
      <c r="C204" s="32" t="s">
        <v>398</v>
      </c>
      <c r="D204" s="32" t="s">
        <v>458</v>
      </c>
      <c r="E204" s="32" t="s">
        <v>459</v>
      </c>
      <c r="F204" s="115" t="s">
        <v>237</v>
      </c>
      <c r="G204" s="33" t="s">
        <v>426</v>
      </c>
      <c r="H204" s="168">
        <f>H205</f>
        <v>0</v>
      </c>
      <c r="I204" s="168">
        <f>I205</f>
        <v>0</v>
      </c>
      <c r="J204" s="176"/>
      <c r="K204" s="168">
        <f>K205</f>
        <v>1936.4</v>
      </c>
      <c r="L204" s="168">
        <f>L205</f>
        <v>0</v>
      </c>
      <c r="M204" s="166">
        <f>M205</f>
        <v>97.999</v>
      </c>
      <c r="N204" s="166">
        <f>N205</f>
        <v>97.999</v>
      </c>
      <c r="O204" s="176">
        <f>M204/K204*100</f>
        <v>5.06088618054121</v>
      </c>
      <c r="P204" s="168">
        <f>H204+K204</f>
        <v>1936.4</v>
      </c>
      <c r="Q204" s="168">
        <f>I204+M204</f>
        <v>97.999</v>
      </c>
      <c r="R204" s="176">
        <f>Q204-P204</f>
        <v>-1838.401</v>
      </c>
      <c r="S204" s="176">
        <f>Q204/P204*100</f>
        <v>5.06088618054121</v>
      </c>
      <c r="T204" s="130">
        <f>T205</f>
        <v>1936.3999999999999</v>
      </c>
    </row>
    <row r="205" spans="3:20" s="7" customFormat="1" ht="73.5" customHeight="1">
      <c r="C205" s="32"/>
      <c r="D205" s="32"/>
      <c r="E205" s="32"/>
      <c r="F205" s="115"/>
      <c r="G205" s="45" t="s">
        <v>399</v>
      </c>
      <c r="H205" s="168"/>
      <c r="I205" s="179"/>
      <c r="J205" s="176"/>
      <c r="K205" s="166">
        <v>1936.4</v>
      </c>
      <c r="L205" s="166"/>
      <c r="M205" s="166">
        <v>97.999</v>
      </c>
      <c r="N205" s="166">
        <v>97.999</v>
      </c>
      <c r="O205" s="176">
        <f>M205/K205*100</f>
        <v>5.06088618054121</v>
      </c>
      <c r="P205" s="168">
        <f>H205+K205</f>
        <v>1936.4</v>
      </c>
      <c r="Q205" s="168">
        <f>I205+M205</f>
        <v>97.999</v>
      </c>
      <c r="R205" s="176">
        <f>Q205-P205</f>
        <v>-1838.401</v>
      </c>
      <c r="S205" s="176">
        <f>Q205/P205*100</f>
        <v>5.06088618054121</v>
      </c>
      <c r="T205" s="34">
        <f>1908.1+28.3</f>
        <v>1936.3999999999999</v>
      </c>
    </row>
    <row r="206" spans="3:20" s="7" customFormat="1" ht="88.5" customHeight="1">
      <c r="C206" s="32" t="s">
        <v>384</v>
      </c>
      <c r="D206" s="32" t="s">
        <v>461</v>
      </c>
      <c r="E206" s="32" t="s">
        <v>462</v>
      </c>
      <c r="F206" s="115" t="s">
        <v>238</v>
      </c>
      <c r="G206" s="33" t="s">
        <v>385</v>
      </c>
      <c r="H206" s="168">
        <f>SUM(H207:H207)</f>
        <v>0</v>
      </c>
      <c r="I206" s="168">
        <f>SUM(I207:I207)</f>
        <v>0</v>
      </c>
      <c r="J206" s="176"/>
      <c r="K206" s="168">
        <f>K207</f>
        <v>6728.3</v>
      </c>
      <c r="L206" s="168">
        <f>SUM(L207:L207)</f>
        <v>0</v>
      </c>
      <c r="M206" s="170">
        <f>M207</f>
        <v>49.91513</v>
      </c>
      <c r="N206" s="170">
        <f>N207</f>
        <v>49.91513</v>
      </c>
      <c r="O206" s="176">
        <f>M206/K206*100</f>
        <v>0.7418683768559665</v>
      </c>
      <c r="P206" s="168">
        <f>H206+K206</f>
        <v>6728.3</v>
      </c>
      <c r="Q206" s="168">
        <f>I206+M206</f>
        <v>49.91513</v>
      </c>
      <c r="R206" s="176">
        <f>Q206-P206</f>
        <v>-6678.38487</v>
      </c>
      <c r="S206" s="176">
        <f>Q206/P206*100</f>
        <v>0.7418683768559665</v>
      </c>
      <c r="T206" s="130">
        <f>SUM(T207:T207)</f>
        <v>6728.3</v>
      </c>
    </row>
    <row r="207" spans="3:20" s="39" customFormat="1" ht="80.25" customHeight="1">
      <c r="C207" s="35"/>
      <c r="D207" s="35"/>
      <c r="E207" s="35"/>
      <c r="F207" s="119"/>
      <c r="G207" s="45" t="s">
        <v>399</v>
      </c>
      <c r="H207" s="177">
        <f>I207+L207</f>
        <v>0</v>
      </c>
      <c r="I207" s="177"/>
      <c r="J207" s="176"/>
      <c r="K207" s="177">
        <v>6728.3</v>
      </c>
      <c r="L207" s="177"/>
      <c r="M207" s="170">
        <v>49.91513</v>
      </c>
      <c r="N207" s="170">
        <v>49.91513</v>
      </c>
      <c r="O207" s="176">
        <f>M207/K207*100</f>
        <v>0.7418683768559665</v>
      </c>
      <c r="P207" s="168">
        <f>H207+K207</f>
        <v>6728.3</v>
      </c>
      <c r="Q207" s="168">
        <f>I207+M207</f>
        <v>49.91513</v>
      </c>
      <c r="R207" s="176">
        <f>Q207-P207</f>
        <v>-6678.38487</v>
      </c>
      <c r="S207" s="189">
        <f>Q207/P207*100</f>
        <v>0.7418683768559665</v>
      </c>
      <c r="T207" s="56">
        <f>6700+56.6-28.3</f>
        <v>6728.3</v>
      </c>
    </row>
    <row r="208" spans="3:20" s="7" customFormat="1" ht="87.75" customHeight="1">
      <c r="C208" s="32" t="s">
        <v>383</v>
      </c>
      <c r="D208" s="32" t="s">
        <v>476</v>
      </c>
      <c r="E208" s="32" t="s">
        <v>566</v>
      </c>
      <c r="F208" s="115" t="s">
        <v>341</v>
      </c>
      <c r="G208" s="33" t="s">
        <v>342</v>
      </c>
      <c r="H208" s="168">
        <f>I208+L208</f>
        <v>0</v>
      </c>
      <c r="I208" s="168"/>
      <c r="J208" s="176"/>
      <c r="K208" s="168"/>
      <c r="L208" s="168"/>
      <c r="M208" s="166"/>
      <c r="N208" s="166"/>
      <c r="O208" s="176"/>
      <c r="P208" s="168"/>
      <c r="Q208" s="168"/>
      <c r="R208" s="176"/>
      <c r="S208" s="176"/>
      <c r="T208" s="130"/>
    </row>
    <row r="209" spans="1:21" s="71" customFormat="1" ht="64.5" customHeight="1">
      <c r="A209" s="7">
        <v>1</v>
      </c>
      <c r="B209" s="7">
        <v>37</v>
      </c>
      <c r="C209" s="32" t="s">
        <v>103</v>
      </c>
      <c r="D209" s="32" t="s">
        <v>569</v>
      </c>
      <c r="E209" s="32" t="s">
        <v>570</v>
      </c>
      <c r="F209" s="115" t="s">
        <v>44</v>
      </c>
      <c r="G209" s="41" t="s">
        <v>363</v>
      </c>
      <c r="H209" s="166">
        <f>SUM(H210:H212)</f>
        <v>4116.608</v>
      </c>
      <c r="I209" s="166">
        <f>SUM(I210:I212)</f>
        <v>3597.52578</v>
      </c>
      <c r="J209" s="176">
        <f t="shared" si="26"/>
        <v>87.39053560601349</v>
      </c>
      <c r="K209" s="166">
        <f>SUM(K210:K212)</f>
        <v>0</v>
      </c>
      <c r="L209" s="166">
        <f>SUM(L210:L212)</f>
        <v>0</v>
      </c>
      <c r="M209" s="166">
        <f>SUM(M210:M212)</f>
        <v>0</v>
      </c>
      <c r="N209" s="166">
        <f>SUM(N210:N212)</f>
        <v>0</v>
      </c>
      <c r="O209" s="167">
        <f>SUM(O210:O212)</f>
        <v>0</v>
      </c>
      <c r="P209" s="166">
        <f>H209+K209</f>
        <v>4116.608</v>
      </c>
      <c r="Q209" s="166">
        <f>I209+M209</f>
        <v>3597.52578</v>
      </c>
      <c r="R209" s="167">
        <f aca="true" t="shared" si="35" ref="R209:R227">Q209-P209</f>
        <v>-519.0822200000002</v>
      </c>
      <c r="S209" s="167">
        <f aca="true" t="shared" si="36" ref="S209:S227">Q209/P209*100</f>
        <v>87.39053560601349</v>
      </c>
      <c r="T209" s="129">
        <f>SUM(T210:T212)</f>
        <v>0</v>
      </c>
      <c r="U209" s="70"/>
    </row>
    <row r="210" spans="1:21" s="107" customFormat="1" ht="66.75" customHeight="1">
      <c r="A210" s="39"/>
      <c r="B210" s="39"/>
      <c r="C210" s="35"/>
      <c r="D210" s="35"/>
      <c r="E210" s="35"/>
      <c r="F210" s="119"/>
      <c r="G210" s="55" t="s">
        <v>364</v>
      </c>
      <c r="H210" s="170">
        <f>500+2000+230+354.708</f>
        <v>3084.708</v>
      </c>
      <c r="I210" s="170">
        <v>2583.52408</v>
      </c>
      <c r="J210" s="176">
        <f t="shared" si="26"/>
        <v>83.75263007065823</v>
      </c>
      <c r="K210" s="170"/>
      <c r="L210" s="170"/>
      <c r="M210" s="181"/>
      <c r="N210" s="181"/>
      <c r="O210" s="171"/>
      <c r="P210" s="166">
        <f>H210+K210</f>
        <v>3084.708</v>
      </c>
      <c r="Q210" s="166">
        <f>I210+M210</f>
        <v>2583.52408</v>
      </c>
      <c r="R210" s="167">
        <f t="shared" si="35"/>
        <v>-501.18391999999994</v>
      </c>
      <c r="S210" s="167">
        <f t="shared" si="36"/>
        <v>83.75263007065823</v>
      </c>
      <c r="T210" s="133"/>
      <c r="U210" s="106"/>
    </row>
    <row r="211" spans="1:21" s="107" customFormat="1" ht="48" customHeight="1">
      <c r="A211" s="39"/>
      <c r="B211" s="39"/>
      <c r="C211" s="35"/>
      <c r="D211" s="35"/>
      <c r="E211" s="35"/>
      <c r="F211" s="119"/>
      <c r="G211" s="55" t="s">
        <v>394</v>
      </c>
      <c r="H211" s="170">
        <v>1031.9</v>
      </c>
      <c r="I211" s="170">
        <v>1014.0017</v>
      </c>
      <c r="J211" s="176">
        <f t="shared" si="26"/>
        <v>98.26550053299738</v>
      </c>
      <c r="K211" s="170"/>
      <c r="L211" s="170"/>
      <c r="M211" s="181"/>
      <c r="N211" s="181"/>
      <c r="O211" s="171"/>
      <c r="P211" s="166">
        <f>H211+K211</f>
        <v>1031.9</v>
      </c>
      <c r="Q211" s="166">
        <f>I211+M211</f>
        <v>1014.0017</v>
      </c>
      <c r="R211" s="167">
        <f t="shared" si="35"/>
        <v>-17.898300000000063</v>
      </c>
      <c r="S211" s="167">
        <f t="shared" si="36"/>
        <v>98.26550053299738</v>
      </c>
      <c r="T211" s="133"/>
      <c r="U211" s="106"/>
    </row>
    <row r="212" spans="1:21" s="107" customFormat="1" ht="64.5" customHeight="1" hidden="1">
      <c r="A212" s="39"/>
      <c r="B212" s="39"/>
      <c r="C212" s="35"/>
      <c r="D212" s="35"/>
      <c r="E212" s="35"/>
      <c r="F212" s="119"/>
      <c r="G212" s="55" t="s">
        <v>365</v>
      </c>
      <c r="H212" s="170">
        <f>I212+L212</f>
        <v>0</v>
      </c>
      <c r="I212" s="170"/>
      <c r="J212" s="176" t="e">
        <f t="shared" si="26"/>
        <v>#DIV/0!</v>
      </c>
      <c r="K212" s="170"/>
      <c r="L212" s="170"/>
      <c r="M212" s="181"/>
      <c r="N212" s="181"/>
      <c r="O212" s="171"/>
      <c r="P212" s="170"/>
      <c r="Q212" s="170"/>
      <c r="R212" s="167">
        <f t="shared" si="35"/>
        <v>0</v>
      </c>
      <c r="S212" s="167" t="e">
        <f t="shared" si="36"/>
        <v>#DIV/0!</v>
      </c>
      <c r="T212" s="133"/>
      <c r="U212" s="106"/>
    </row>
    <row r="213" spans="1:22" s="71" customFormat="1" ht="39.75" customHeight="1">
      <c r="A213" s="7">
        <v>2</v>
      </c>
      <c r="B213" s="7">
        <v>38</v>
      </c>
      <c r="C213" s="32" t="s">
        <v>169</v>
      </c>
      <c r="D213" s="32" t="s">
        <v>571</v>
      </c>
      <c r="E213" s="32"/>
      <c r="F213" s="115"/>
      <c r="G213" s="33" t="s">
        <v>118</v>
      </c>
      <c r="H213" s="166">
        <f aca="true" t="shared" si="37" ref="H213:T213">H214+H220</f>
        <v>0</v>
      </c>
      <c r="I213" s="166">
        <f t="shared" si="37"/>
        <v>0</v>
      </c>
      <c r="J213" s="176"/>
      <c r="K213" s="166">
        <f t="shared" si="37"/>
        <v>7961.7</v>
      </c>
      <c r="L213" s="166">
        <f t="shared" si="37"/>
        <v>0</v>
      </c>
      <c r="M213" s="166">
        <f t="shared" si="37"/>
        <v>1410.1564</v>
      </c>
      <c r="N213" s="166">
        <f t="shared" si="37"/>
        <v>1410.1564</v>
      </c>
      <c r="O213" s="167">
        <f>M213/K213*100</f>
        <v>17.711750003140033</v>
      </c>
      <c r="P213" s="166">
        <f>H213+K213</f>
        <v>7961.7</v>
      </c>
      <c r="Q213" s="166">
        <f aca="true" t="shared" si="38" ref="Q213:Q220">I213+M213</f>
        <v>1410.1564</v>
      </c>
      <c r="R213" s="167">
        <f t="shared" si="35"/>
        <v>-6551.5436</v>
      </c>
      <c r="S213" s="167">
        <f t="shared" si="36"/>
        <v>17.711750003140033</v>
      </c>
      <c r="T213" s="14">
        <f t="shared" si="37"/>
        <v>7961.7</v>
      </c>
      <c r="U213" s="14"/>
      <c r="V213" s="14"/>
    </row>
    <row r="214" spans="3:22" s="71" customFormat="1" ht="39.75" customHeight="1">
      <c r="C214" s="35" t="s">
        <v>104</v>
      </c>
      <c r="D214" s="35" t="s">
        <v>572</v>
      </c>
      <c r="E214" s="35" t="s">
        <v>570</v>
      </c>
      <c r="F214" s="119" t="s">
        <v>220</v>
      </c>
      <c r="G214" s="45" t="s">
        <v>119</v>
      </c>
      <c r="H214" s="170">
        <f>SUM(H215:H218)</f>
        <v>0</v>
      </c>
      <c r="I214" s="170">
        <f>SUM(I215:I218)</f>
        <v>0</v>
      </c>
      <c r="J214" s="176"/>
      <c r="K214" s="170">
        <f>SUM(K215:K218)</f>
        <v>5351.7</v>
      </c>
      <c r="L214" s="170">
        <f>SUM(L215:L218)</f>
        <v>0</v>
      </c>
      <c r="M214" s="170">
        <f>SUM(M215:M218)</f>
        <v>1113.98675</v>
      </c>
      <c r="N214" s="170">
        <f>SUM(N215:N218)</f>
        <v>1113.98675</v>
      </c>
      <c r="O214" s="171">
        <f>SUM(O215:O219)</f>
        <v>0</v>
      </c>
      <c r="P214" s="166">
        <f>H214+K214</f>
        <v>5351.7</v>
      </c>
      <c r="Q214" s="166">
        <f t="shared" si="38"/>
        <v>1113.98675</v>
      </c>
      <c r="R214" s="167">
        <f t="shared" si="35"/>
        <v>-4237.71325</v>
      </c>
      <c r="S214" s="167">
        <f t="shared" si="36"/>
        <v>20.815567950370912</v>
      </c>
      <c r="T214" s="129">
        <f>SUM(T215:T219)</f>
        <v>5351.7</v>
      </c>
      <c r="U214" s="14"/>
      <c r="V214" s="14"/>
    </row>
    <row r="215" spans="3:21" s="39" customFormat="1" ht="57.75" customHeight="1">
      <c r="C215" s="35"/>
      <c r="D215" s="35"/>
      <c r="E215" s="35"/>
      <c r="F215" s="119"/>
      <c r="G215" s="45" t="s">
        <v>364</v>
      </c>
      <c r="H215" s="170"/>
      <c r="I215" s="170"/>
      <c r="J215" s="176"/>
      <c r="K215" s="170">
        <f>2805+2526.7</f>
        <v>5331.7</v>
      </c>
      <c r="L215" s="170"/>
      <c r="M215" s="166">
        <v>1107.5784</v>
      </c>
      <c r="N215" s="166">
        <v>1107.5784</v>
      </c>
      <c r="O215" s="171"/>
      <c r="P215" s="166">
        <f>H215+K215</f>
        <v>5331.7</v>
      </c>
      <c r="Q215" s="166">
        <f t="shared" si="38"/>
        <v>1107.5784</v>
      </c>
      <c r="R215" s="167">
        <f t="shared" si="35"/>
        <v>-4224.1215999999995</v>
      </c>
      <c r="S215" s="167">
        <f t="shared" si="36"/>
        <v>20.773456871166797</v>
      </c>
      <c r="T215" s="38">
        <f>2200+1200+605+1326.7+150-150</f>
        <v>5331.7</v>
      </c>
      <c r="U215" s="54"/>
    </row>
    <row r="216" spans="3:20" s="18" customFormat="1" ht="58.5" customHeight="1">
      <c r="C216" s="32"/>
      <c r="D216" s="32"/>
      <c r="E216" s="32"/>
      <c r="F216" s="119"/>
      <c r="G216" s="45" t="s">
        <v>573</v>
      </c>
      <c r="H216" s="170"/>
      <c r="I216" s="166"/>
      <c r="J216" s="176"/>
      <c r="K216" s="166">
        <v>20</v>
      </c>
      <c r="L216" s="166"/>
      <c r="M216" s="166">
        <v>6.40835</v>
      </c>
      <c r="N216" s="166">
        <v>6.40835</v>
      </c>
      <c r="O216" s="167"/>
      <c r="P216" s="166">
        <f>K216+H216</f>
        <v>20</v>
      </c>
      <c r="Q216" s="166">
        <f t="shared" si="38"/>
        <v>6.40835</v>
      </c>
      <c r="R216" s="167">
        <f t="shared" si="35"/>
        <v>-13.59165</v>
      </c>
      <c r="S216" s="167">
        <f t="shared" si="36"/>
        <v>32.04175</v>
      </c>
      <c r="T216" s="38">
        <v>20</v>
      </c>
    </row>
    <row r="217" spans="1:21" s="107" customFormat="1" ht="48" customHeight="1" hidden="1">
      <c r="A217" s="39"/>
      <c r="B217" s="39"/>
      <c r="C217" s="35"/>
      <c r="D217" s="35"/>
      <c r="E217" s="35"/>
      <c r="F217" s="119"/>
      <c r="G217" s="55" t="s">
        <v>394</v>
      </c>
      <c r="H217" s="170"/>
      <c r="I217" s="170"/>
      <c r="J217" s="176" t="e">
        <f t="shared" si="26"/>
        <v>#DIV/0!</v>
      </c>
      <c r="K217" s="170"/>
      <c r="L217" s="170"/>
      <c r="M217" s="181"/>
      <c r="N217" s="181"/>
      <c r="O217" s="171"/>
      <c r="P217" s="166">
        <f>H217+K217</f>
        <v>0</v>
      </c>
      <c r="Q217" s="166">
        <f t="shared" si="38"/>
        <v>0</v>
      </c>
      <c r="R217" s="167">
        <f t="shared" si="35"/>
        <v>0</v>
      </c>
      <c r="S217" s="167" t="e">
        <f t="shared" si="36"/>
        <v>#DIV/0!</v>
      </c>
      <c r="T217" s="38"/>
      <c r="U217" s="106"/>
    </row>
    <row r="218" spans="3:20" s="39" customFormat="1" ht="60.75" customHeight="1" hidden="1">
      <c r="C218" s="35"/>
      <c r="D218" s="35"/>
      <c r="E218" s="35"/>
      <c r="F218" s="119" t="s">
        <v>220</v>
      </c>
      <c r="G218" s="45" t="s">
        <v>120</v>
      </c>
      <c r="H218" s="170"/>
      <c r="I218" s="170"/>
      <c r="J218" s="176" t="e">
        <f t="shared" si="26"/>
        <v>#DIV/0!</v>
      </c>
      <c r="K218" s="170"/>
      <c r="L218" s="170"/>
      <c r="M218" s="181"/>
      <c r="N218" s="181"/>
      <c r="O218" s="172"/>
      <c r="P218" s="166">
        <f>H218+K218</f>
        <v>0</v>
      </c>
      <c r="Q218" s="166">
        <f t="shared" si="38"/>
        <v>0</v>
      </c>
      <c r="R218" s="167">
        <f t="shared" si="35"/>
        <v>0</v>
      </c>
      <c r="S218" s="167" t="e">
        <f t="shared" si="36"/>
        <v>#DIV/0!</v>
      </c>
      <c r="T218" s="133"/>
    </row>
    <row r="219" spans="3:20" s="39" customFormat="1" ht="83.25" customHeight="1" hidden="1">
      <c r="C219" s="35"/>
      <c r="D219" s="35"/>
      <c r="E219" s="35"/>
      <c r="F219" s="119" t="s">
        <v>220</v>
      </c>
      <c r="G219" s="45" t="s">
        <v>91</v>
      </c>
      <c r="H219" s="170"/>
      <c r="I219" s="170"/>
      <c r="J219" s="176" t="e">
        <f t="shared" si="26"/>
        <v>#DIV/0!</v>
      </c>
      <c r="K219" s="170"/>
      <c r="L219" s="170"/>
      <c r="M219" s="181"/>
      <c r="N219" s="181"/>
      <c r="O219" s="172"/>
      <c r="P219" s="166">
        <f>H219+K219</f>
        <v>0</v>
      </c>
      <c r="Q219" s="166">
        <f t="shared" si="38"/>
        <v>0</v>
      </c>
      <c r="R219" s="167">
        <f t="shared" si="35"/>
        <v>0</v>
      </c>
      <c r="S219" s="167" t="e">
        <f t="shared" si="36"/>
        <v>#DIV/0!</v>
      </c>
      <c r="T219" s="133"/>
    </row>
    <row r="220" spans="3:20" s="39" customFormat="1" ht="98.25" customHeight="1">
      <c r="C220" s="35" t="s">
        <v>629</v>
      </c>
      <c r="D220" s="35" t="s">
        <v>721</v>
      </c>
      <c r="E220" s="35" t="s">
        <v>570</v>
      </c>
      <c r="F220" s="119" t="s">
        <v>630</v>
      </c>
      <c r="G220" s="45" t="s">
        <v>631</v>
      </c>
      <c r="H220" s="170"/>
      <c r="I220" s="170"/>
      <c r="J220" s="176"/>
      <c r="K220" s="170">
        <v>2610</v>
      </c>
      <c r="L220" s="170"/>
      <c r="M220" s="181">
        <v>296.16965</v>
      </c>
      <c r="N220" s="181">
        <v>296.16965</v>
      </c>
      <c r="O220" s="171">
        <f>M220/K220*100</f>
        <v>11.347496168582374</v>
      </c>
      <c r="P220" s="166">
        <f>H220+K220</f>
        <v>2610</v>
      </c>
      <c r="Q220" s="166">
        <f t="shared" si="38"/>
        <v>296.16965</v>
      </c>
      <c r="R220" s="167">
        <f t="shared" si="35"/>
        <v>-2313.83035</v>
      </c>
      <c r="S220" s="167">
        <f t="shared" si="36"/>
        <v>11.347496168582374</v>
      </c>
      <c r="T220" s="38">
        <f>480+1710+420</f>
        <v>2610</v>
      </c>
    </row>
    <row r="221" spans="1:21" s="7" customFormat="1" ht="48.75" customHeight="1">
      <c r="A221" s="7">
        <v>3</v>
      </c>
      <c r="B221" s="7">
        <v>39</v>
      </c>
      <c r="C221" s="32" t="s">
        <v>170</v>
      </c>
      <c r="D221" s="32" t="s">
        <v>574</v>
      </c>
      <c r="E221" s="32"/>
      <c r="F221" s="115"/>
      <c r="G221" s="33" t="s">
        <v>69</v>
      </c>
      <c r="H221" s="166">
        <f>SUM(H224:H228)</f>
        <v>615</v>
      </c>
      <c r="I221" s="166">
        <f>SUM(I224:I228)</f>
        <v>6.82788</v>
      </c>
      <c r="J221" s="176">
        <f t="shared" si="26"/>
        <v>1.1102243902439026</v>
      </c>
      <c r="K221" s="166">
        <f>K222+K223</f>
        <v>1168</v>
      </c>
      <c r="L221" s="166">
        <f>L222+L223</f>
        <v>0</v>
      </c>
      <c r="M221" s="166">
        <f>M222+M223</f>
        <v>0</v>
      </c>
      <c r="N221" s="166">
        <f>N222+N223</f>
        <v>0</v>
      </c>
      <c r="O221" s="171">
        <f>M221/K221*100</f>
        <v>0</v>
      </c>
      <c r="P221" s="166">
        <f>P222+P223</f>
        <v>1783</v>
      </c>
      <c r="Q221" s="166">
        <f>Q222+Q223</f>
        <v>6.82788</v>
      </c>
      <c r="R221" s="167">
        <f t="shared" si="35"/>
        <v>-1776.17212</v>
      </c>
      <c r="S221" s="167">
        <f t="shared" si="36"/>
        <v>0.38294335389792483</v>
      </c>
      <c r="T221" s="14">
        <f>T222+T223</f>
        <v>1168</v>
      </c>
      <c r="U221" s="22"/>
    </row>
    <row r="222" spans="3:21" s="39" customFormat="1" ht="102" customHeight="1">
      <c r="C222" s="35" t="s">
        <v>680</v>
      </c>
      <c r="D222" s="35" t="s">
        <v>681</v>
      </c>
      <c r="E222" s="35" t="s">
        <v>681</v>
      </c>
      <c r="F222" s="119"/>
      <c r="G222" s="45" t="s">
        <v>682</v>
      </c>
      <c r="H222" s="170"/>
      <c r="I222" s="170"/>
      <c r="J222" s="176"/>
      <c r="K222" s="170">
        <v>100</v>
      </c>
      <c r="L222" s="170"/>
      <c r="M222" s="166">
        <v>0</v>
      </c>
      <c r="N222" s="166">
        <f>SUM(N223:N227)</f>
        <v>0</v>
      </c>
      <c r="O222" s="171">
        <f aca="true" t="shared" si="39" ref="O222:O238">M222/K222*100</f>
        <v>0</v>
      </c>
      <c r="P222" s="170">
        <f aca="true" t="shared" si="40" ref="P222:P227">H222+K222</f>
        <v>100</v>
      </c>
      <c r="Q222" s="170">
        <f aca="true" t="shared" si="41" ref="Q222:Q227">I222+M222</f>
        <v>0</v>
      </c>
      <c r="R222" s="167">
        <f t="shared" si="35"/>
        <v>-100</v>
      </c>
      <c r="S222" s="167">
        <f t="shared" si="36"/>
        <v>0</v>
      </c>
      <c r="T222" s="38">
        <v>100</v>
      </c>
      <c r="U222" s="54"/>
    </row>
    <row r="223" spans="3:21" s="7" customFormat="1" ht="68.25" customHeight="1">
      <c r="C223" s="35" t="s">
        <v>105</v>
      </c>
      <c r="D223" s="35" t="s">
        <v>577</v>
      </c>
      <c r="E223" s="35" t="s">
        <v>575</v>
      </c>
      <c r="F223" s="119" t="s">
        <v>262</v>
      </c>
      <c r="G223" s="45" t="s">
        <v>628</v>
      </c>
      <c r="H223" s="166">
        <f>SUM(H224:H228)</f>
        <v>615</v>
      </c>
      <c r="I223" s="166">
        <f>SUM(I224:I228)</f>
        <v>6.82788</v>
      </c>
      <c r="J223" s="176">
        <f t="shared" si="26"/>
        <v>1.1102243902439026</v>
      </c>
      <c r="K223" s="166">
        <f>SUM(K224:K228)</f>
        <v>1068</v>
      </c>
      <c r="L223" s="166">
        <f>SUM(L224:L228)</f>
        <v>0</v>
      </c>
      <c r="M223" s="166">
        <f>M224+M225+M227</f>
        <v>0</v>
      </c>
      <c r="N223" s="166">
        <f>N224+N225+N227</f>
        <v>0</v>
      </c>
      <c r="O223" s="171">
        <f t="shared" si="39"/>
        <v>0</v>
      </c>
      <c r="P223" s="170">
        <f t="shared" si="40"/>
        <v>1683</v>
      </c>
      <c r="Q223" s="170">
        <f t="shared" si="41"/>
        <v>6.82788</v>
      </c>
      <c r="R223" s="167">
        <f t="shared" si="35"/>
        <v>-1676.17212</v>
      </c>
      <c r="S223" s="167">
        <f t="shared" si="36"/>
        <v>0.40569696969696967</v>
      </c>
      <c r="T223" s="133">
        <f>SUM(T224:T228)</f>
        <v>1068</v>
      </c>
      <c r="U223" s="22"/>
    </row>
    <row r="224" spans="3:20" s="19" customFormat="1" ht="60" customHeight="1">
      <c r="C224" s="35"/>
      <c r="D224" s="35"/>
      <c r="E224" s="35"/>
      <c r="F224" s="119"/>
      <c r="G224" s="45" t="s">
        <v>576</v>
      </c>
      <c r="H224" s="170"/>
      <c r="I224" s="170"/>
      <c r="J224" s="176"/>
      <c r="K224" s="170">
        <v>435</v>
      </c>
      <c r="L224" s="170"/>
      <c r="M224" s="181"/>
      <c r="N224" s="181"/>
      <c r="O224" s="171">
        <f t="shared" si="39"/>
        <v>0</v>
      </c>
      <c r="P224" s="170">
        <f t="shared" si="40"/>
        <v>435</v>
      </c>
      <c r="Q224" s="170">
        <f t="shared" si="41"/>
        <v>0</v>
      </c>
      <c r="R224" s="167">
        <f t="shared" si="35"/>
        <v>-435</v>
      </c>
      <c r="S224" s="167">
        <f t="shared" si="36"/>
        <v>0</v>
      </c>
      <c r="T224" s="38">
        <v>435</v>
      </c>
    </row>
    <row r="225" spans="3:20" s="19" customFormat="1" ht="57.75" customHeight="1">
      <c r="C225" s="35"/>
      <c r="D225" s="35"/>
      <c r="E225" s="35"/>
      <c r="F225" s="119"/>
      <c r="G225" s="45" t="s">
        <v>364</v>
      </c>
      <c r="H225" s="170">
        <v>600</v>
      </c>
      <c r="I225" s="170">
        <v>0</v>
      </c>
      <c r="J225" s="176"/>
      <c r="K225" s="170">
        <v>633</v>
      </c>
      <c r="L225" s="170"/>
      <c r="M225" s="181"/>
      <c r="N225" s="181"/>
      <c r="O225" s="171">
        <f t="shared" si="39"/>
        <v>0</v>
      </c>
      <c r="P225" s="170">
        <f t="shared" si="40"/>
        <v>1233</v>
      </c>
      <c r="Q225" s="170">
        <f t="shared" si="41"/>
        <v>0</v>
      </c>
      <c r="R225" s="167">
        <f t="shared" si="35"/>
        <v>-1233</v>
      </c>
      <c r="S225" s="167">
        <f t="shared" si="36"/>
        <v>0</v>
      </c>
      <c r="T225" s="38">
        <f>633</f>
        <v>633</v>
      </c>
    </row>
    <row r="226" spans="3:20" s="19" customFormat="1" ht="79.5" customHeight="1" hidden="1">
      <c r="C226" s="35"/>
      <c r="D226" s="35"/>
      <c r="E226" s="35"/>
      <c r="F226" s="119"/>
      <c r="G226" s="45" t="s">
        <v>319</v>
      </c>
      <c r="H226" s="170"/>
      <c r="I226" s="170"/>
      <c r="J226" s="176" t="e">
        <f t="shared" si="26"/>
        <v>#DIV/0!</v>
      </c>
      <c r="K226" s="170"/>
      <c r="L226" s="170"/>
      <c r="M226" s="181"/>
      <c r="N226" s="181"/>
      <c r="O226" s="171" t="e">
        <f t="shared" si="39"/>
        <v>#DIV/0!</v>
      </c>
      <c r="P226" s="170">
        <f t="shared" si="40"/>
        <v>0</v>
      </c>
      <c r="Q226" s="170">
        <f t="shared" si="41"/>
        <v>0</v>
      </c>
      <c r="R226" s="167">
        <f t="shared" si="35"/>
        <v>0</v>
      </c>
      <c r="S226" s="167" t="e">
        <f t="shared" si="36"/>
        <v>#DIV/0!</v>
      </c>
      <c r="T226" s="133"/>
    </row>
    <row r="227" spans="3:20" s="19" customFormat="1" ht="49.5" customHeight="1">
      <c r="C227" s="35"/>
      <c r="D227" s="35"/>
      <c r="E227" s="35"/>
      <c r="F227" s="119"/>
      <c r="G227" s="45" t="s">
        <v>688</v>
      </c>
      <c r="H227" s="170">
        <v>15</v>
      </c>
      <c r="I227" s="170">
        <v>6.82788</v>
      </c>
      <c r="J227" s="176">
        <f t="shared" si="26"/>
        <v>45.519200000000005</v>
      </c>
      <c r="K227" s="170"/>
      <c r="L227" s="170"/>
      <c r="M227" s="181"/>
      <c r="N227" s="181"/>
      <c r="O227" s="171"/>
      <c r="P227" s="170">
        <f t="shared" si="40"/>
        <v>15</v>
      </c>
      <c r="Q227" s="170">
        <f t="shared" si="41"/>
        <v>6.82788</v>
      </c>
      <c r="R227" s="167">
        <f t="shared" si="35"/>
        <v>-8.17212</v>
      </c>
      <c r="S227" s="167">
        <f t="shared" si="36"/>
        <v>45.519200000000005</v>
      </c>
      <c r="T227" s="133"/>
    </row>
    <row r="228" spans="3:20" s="39" customFormat="1" ht="69.75" customHeight="1" hidden="1">
      <c r="C228" s="35"/>
      <c r="D228" s="35"/>
      <c r="E228" s="35"/>
      <c r="F228" s="119"/>
      <c r="G228" s="45" t="s">
        <v>395</v>
      </c>
      <c r="H228" s="170"/>
      <c r="I228" s="170"/>
      <c r="J228" s="176" t="e">
        <f t="shared" si="26"/>
        <v>#DIV/0!</v>
      </c>
      <c r="K228" s="170"/>
      <c r="L228" s="170"/>
      <c r="M228" s="181"/>
      <c r="N228" s="181"/>
      <c r="O228" s="171" t="e">
        <f t="shared" si="39"/>
        <v>#DIV/0!</v>
      </c>
      <c r="P228" s="170"/>
      <c r="Q228" s="170"/>
      <c r="R228" s="171"/>
      <c r="S228" s="171"/>
      <c r="T228" s="133"/>
    </row>
    <row r="229" spans="1:21" s="7" customFormat="1" ht="53.25" customHeight="1">
      <c r="A229" s="7">
        <v>4</v>
      </c>
      <c r="B229" s="7">
        <v>40</v>
      </c>
      <c r="C229" s="32" t="s">
        <v>106</v>
      </c>
      <c r="D229" s="32" t="s">
        <v>578</v>
      </c>
      <c r="E229" s="32" t="s">
        <v>575</v>
      </c>
      <c r="F229" s="115" t="s">
        <v>221</v>
      </c>
      <c r="G229" s="43" t="s">
        <v>192</v>
      </c>
      <c r="H229" s="166">
        <f>SUM(H230:H237)</f>
        <v>16979.55</v>
      </c>
      <c r="I229" s="166">
        <f>SUM(I230:I237)</f>
        <v>7948.7907</v>
      </c>
      <c r="J229" s="176">
        <f t="shared" si="26"/>
        <v>46.81390672897692</v>
      </c>
      <c r="K229" s="166">
        <f>SUM(K230:K237)</f>
        <v>2446.9</v>
      </c>
      <c r="L229" s="166"/>
      <c r="M229" s="166">
        <f aca="true" t="shared" si="42" ref="M229:T229">SUM(M230:M237)</f>
        <v>1069.72456</v>
      </c>
      <c r="N229" s="166">
        <f t="shared" si="42"/>
        <v>1069.72456</v>
      </c>
      <c r="O229" s="171">
        <f t="shared" si="39"/>
        <v>43.71754301360906</v>
      </c>
      <c r="P229" s="166">
        <f t="shared" si="42"/>
        <v>19426.45</v>
      </c>
      <c r="Q229" s="166">
        <f t="shared" si="42"/>
        <v>9018.51526</v>
      </c>
      <c r="R229" s="167">
        <f t="shared" si="42"/>
        <v>-10407.934739999999</v>
      </c>
      <c r="S229" s="167">
        <f>Q229/P229*100</f>
        <v>46.423897624115575</v>
      </c>
      <c r="T229" s="129">
        <f t="shared" si="42"/>
        <v>2104.9</v>
      </c>
      <c r="U229" s="22"/>
    </row>
    <row r="230" spans="3:21" s="19" customFormat="1" ht="63" customHeight="1">
      <c r="C230" s="35"/>
      <c r="D230" s="35"/>
      <c r="E230" s="35"/>
      <c r="F230" s="119"/>
      <c r="G230" s="45" t="s">
        <v>364</v>
      </c>
      <c r="H230" s="187">
        <v>16209.55</v>
      </c>
      <c r="I230" s="187">
        <v>7565.69228</v>
      </c>
      <c r="J230" s="176">
        <f t="shared" si="26"/>
        <v>46.67428941580735</v>
      </c>
      <c r="K230" s="170">
        <v>2339</v>
      </c>
      <c r="L230" s="170"/>
      <c r="M230" s="181">
        <v>1069.72456</v>
      </c>
      <c r="N230" s="181">
        <v>1069.72456</v>
      </c>
      <c r="O230" s="171">
        <f t="shared" si="39"/>
        <v>45.73426934587431</v>
      </c>
      <c r="P230" s="170">
        <f>H230+K230</f>
        <v>18548.55</v>
      </c>
      <c r="Q230" s="170">
        <f>I230+M230</f>
        <v>8635.41684</v>
      </c>
      <c r="R230" s="171">
        <f>Q230-P230</f>
        <v>-9913.13316</v>
      </c>
      <c r="S230" s="171">
        <f>Q230/P230*100</f>
        <v>46.55575147383488</v>
      </c>
      <c r="T230" s="38">
        <f>380+1000+100+517</f>
        <v>1997</v>
      </c>
      <c r="U230" s="54"/>
    </row>
    <row r="231" spans="3:21" s="19" customFormat="1" ht="63.75" customHeight="1">
      <c r="C231" s="35"/>
      <c r="D231" s="35"/>
      <c r="E231" s="35"/>
      <c r="F231" s="119"/>
      <c r="G231" s="37" t="s">
        <v>687</v>
      </c>
      <c r="H231" s="170"/>
      <c r="I231" s="170"/>
      <c r="J231" s="176"/>
      <c r="K231" s="170">
        <v>37.9</v>
      </c>
      <c r="L231" s="170"/>
      <c r="M231" s="181"/>
      <c r="N231" s="181">
        <v>0</v>
      </c>
      <c r="O231" s="171">
        <f t="shared" si="39"/>
        <v>0</v>
      </c>
      <c r="P231" s="170">
        <f aca="true" t="shared" si="43" ref="P231:P237">H231+K231</f>
        <v>37.9</v>
      </c>
      <c r="Q231" s="170">
        <f aca="true" t="shared" si="44" ref="Q231:Q237">I231+M231</f>
        <v>0</v>
      </c>
      <c r="R231" s="171">
        <f aca="true" t="shared" si="45" ref="R231:R237">Q231-P231</f>
        <v>-37.9</v>
      </c>
      <c r="S231" s="171">
        <f aca="true" t="shared" si="46" ref="S231:S237">Q231/P231*100</f>
        <v>0</v>
      </c>
      <c r="T231" s="38">
        <f>37.9</f>
        <v>37.9</v>
      </c>
      <c r="U231" s="54"/>
    </row>
    <row r="232" spans="3:20" s="7" customFormat="1" ht="58.5" customHeight="1">
      <c r="C232" s="32"/>
      <c r="D232" s="32"/>
      <c r="E232" s="32"/>
      <c r="F232" s="115"/>
      <c r="G232" s="45" t="s">
        <v>576</v>
      </c>
      <c r="H232" s="170">
        <f>52+188</f>
        <v>240</v>
      </c>
      <c r="I232" s="170">
        <v>227.47744</v>
      </c>
      <c r="J232" s="176">
        <f t="shared" si="26"/>
        <v>94.78226666666667</v>
      </c>
      <c r="K232" s="170"/>
      <c r="L232" s="170"/>
      <c r="M232" s="181"/>
      <c r="N232" s="181">
        <v>0</v>
      </c>
      <c r="O232" s="171"/>
      <c r="P232" s="170">
        <f t="shared" si="43"/>
        <v>240</v>
      </c>
      <c r="Q232" s="170">
        <f t="shared" si="44"/>
        <v>227.47744</v>
      </c>
      <c r="R232" s="171">
        <f t="shared" si="45"/>
        <v>-12.522559999999999</v>
      </c>
      <c r="S232" s="171">
        <f t="shared" si="46"/>
        <v>94.78226666666667</v>
      </c>
      <c r="T232" s="133"/>
    </row>
    <row r="233" spans="3:21" s="19" customFormat="1" ht="82.5" customHeight="1" hidden="1">
      <c r="C233" s="35"/>
      <c r="D233" s="35"/>
      <c r="E233" s="35"/>
      <c r="F233" s="119"/>
      <c r="G233" s="37" t="s">
        <v>95</v>
      </c>
      <c r="H233" s="170"/>
      <c r="I233" s="170"/>
      <c r="J233" s="176" t="e">
        <f t="shared" si="26"/>
        <v>#DIV/0!</v>
      </c>
      <c r="K233" s="170"/>
      <c r="L233" s="170"/>
      <c r="M233" s="181"/>
      <c r="N233" s="181"/>
      <c r="O233" s="171" t="e">
        <f t="shared" si="39"/>
        <v>#DIV/0!</v>
      </c>
      <c r="P233" s="170">
        <f t="shared" si="43"/>
        <v>0</v>
      </c>
      <c r="Q233" s="170">
        <f t="shared" si="44"/>
        <v>0</v>
      </c>
      <c r="R233" s="171">
        <f t="shared" si="45"/>
        <v>0</v>
      </c>
      <c r="S233" s="171" t="e">
        <f t="shared" si="46"/>
        <v>#DIV/0!</v>
      </c>
      <c r="T233" s="133"/>
      <c r="U233" s="54"/>
    </row>
    <row r="234" spans="3:21" s="19" customFormat="1" ht="100.5" customHeight="1" hidden="1">
      <c r="C234" s="35"/>
      <c r="D234" s="35"/>
      <c r="E234" s="35"/>
      <c r="F234" s="119"/>
      <c r="G234" s="37" t="s">
        <v>68</v>
      </c>
      <c r="H234" s="170"/>
      <c r="I234" s="170"/>
      <c r="J234" s="176" t="e">
        <f t="shared" si="26"/>
        <v>#DIV/0!</v>
      </c>
      <c r="K234" s="170"/>
      <c r="L234" s="170"/>
      <c r="M234" s="181"/>
      <c r="N234" s="181"/>
      <c r="O234" s="171" t="e">
        <f t="shared" si="39"/>
        <v>#DIV/0!</v>
      </c>
      <c r="P234" s="170">
        <f t="shared" si="43"/>
        <v>0</v>
      </c>
      <c r="Q234" s="170">
        <f t="shared" si="44"/>
        <v>0</v>
      </c>
      <c r="R234" s="171">
        <f t="shared" si="45"/>
        <v>0</v>
      </c>
      <c r="S234" s="171" t="e">
        <f t="shared" si="46"/>
        <v>#DIV/0!</v>
      </c>
      <c r="T234" s="133"/>
      <c r="U234" s="54"/>
    </row>
    <row r="235" spans="3:21" s="39" customFormat="1" ht="66" customHeight="1" hidden="1">
      <c r="C235" s="35"/>
      <c r="D235" s="35"/>
      <c r="E235" s="35"/>
      <c r="F235" s="119"/>
      <c r="G235" s="37" t="s">
        <v>121</v>
      </c>
      <c r="H235" s="170"/>
      <c r="I235" s="170"/>
      <c r="J235" s="176" t="e">
        <f t="shared" si="26"/>
        <v>#DIV/0!</v>
      </c>
      <c r="K235" s="170"/>
      <c r="L235" s="170"/>
      <c r="M235" s="181"/>
      <c r="N235" s="181"/>
      <c r="O235" s="171" t="e">
        <f t="shared" si="39"/>
        <v>#DIV/0!</v>
      </c>
      <c r="P235" s="170">
        <f t="shared" si="43"/>
        <v>0</v>
      </c>
      <c r="Q235" s="170">
        <f t="shared" si="44"/>
        <v>0</v>
      </c>
      <c r="R235" s="171">
        <f t="shared" si="45"/>
        <v>0</v>
      </c>
      <c r="S235" s="171" t="e">
        <f t="shared" si="46"/>
        <v>#DIV/0!</v>
      </c>
      <c r="T235" s="133"/>
      <c r="U235" s="54"/>
    </row>
    <row r="236" spans="3:21" s="39" customFormat="1" ht="66" customHeight="1">
      <c r="C236" s="35"/>
      <c r="D236" s="35"/>
      <c r="E236" s="35"/>
      <c r="F236" s="119"/>
      <c r="G236" s="37" t="s">
        <v>685</v>
      </c>
      <c r="H236" s="170">
        <v>130</v>
      </c>
      <c r="I236" s="170">
        <v>18.0792</v>
      </c>
      <c r="J236" s="176">
        <f aca="true" t="shared" si="47" ref="J236:J297">I236/H236*100</f>
        <v>13.907076923076922</v>
      </c>
      <c r="K236" s="170">
        <v>70</v>
      </c>
      <c r="L236" s="170"/>
      <c r="M236" s="181"/>
      <c r="N236" s="181">
        <v>0</v>
      </c>
      <c r="O236" s="171">
        <f t="shared" si="39"/>
        <v>0</v>
      </c>
      <c r="P236" s="170">
        <f t="shared" si="43"/>
        <v>200</v>
      </c>
      <c r="Q236" s="170">
        <f t="shared" si="44"/>
        <v>18.0792</v>
      </c>
      <c r="R236" s="171">
        <f t="shared" si="45"/>
        <v>-181.92079999999999</v>
      </c>
      <c r="S236" s="171">
        <f t="shared" si="46"/>
        <v>9.0396</v>
      </c>
      <c r="T236" s="38">
        <v>70</v>
      </c>
      <c r="U236" s="54"/>
    </row>
    <row r="237" spans="3:21" s="39" customFormat="1" ht="66" customHeight="1">
      <c r="C237" s="35"/>
      <c r="D237" s="35"/>
      <c r="E237" s="35"/>
      <c r="F237" s="119"/>
      <c r="G237" s="37" t="s">
        <v>686</v>
      </c>
      <c r="H237" s="170">
        <v>400</v>
      </c>
      <c r="I237" s="170">
        <v>137.54178</v>
      </c>
      <c r="J237" s="176">
        <f t="shared" si="47"/>
        <v>34.385445</v>
      </c>
      <c r="K237" s="170"/>
      <c r="L237" s="170"/>
      <c r="M237" s="181"/>
      <c r="N237" s="181">
        <v>0</v>
      </c>
      <c r="O237" s="171"/>
      <c r="P237" s="170">
        <f t="shared" si="43"/>
        <v>400</v>
      </c>
      <c r="Q237" s="170">
        <f t="shared" si="44"/>
        <v>137.54178</v>
      </c>
      <c r="R237" s="171">
        <f t="shared" si="45"/>
        <v>-262.45822</v>
      </c>
      <c r="S237" s="171">
        <f t="shared" si="46"/>
        <v>34.385445</v>
      </c>
      <c r="T237" s="133"/>
      <c r="U237" s="54"/>
    </row>
    <row r="238" spans="2:21" s="7" customFormat="1" ht="43.5" customHeight="1" hidden="1">
      <c r="B238" s="7">
        <v>71</v>
      </c>
      <c r="C238" s="32" t="s">
        <v>41</v>
      </c>
      <c r="D238" s="32" t="s">
        <v>579</v>
      </c>
      <c r="E238" s="32" t="s">
        <v>575</v>
      </c>
      <c r="F238" s="115" t="s">
        <v>2</v>
      </c>
      <c r="G238" s="43" t="s">
        <v>354</v>
      </c>
      <c r="H238" s="166"/>
      <c r="I238" s="166"/>
      <c r="J238" s="176" t="e">
        <f t="shared" si="47"/>
        <v>#DIV/0!</v>
      </c>
      <c r="K238" s="166"/>
      <c r="L238" s="166"/>
      <c r="M238" s="173"/>
      <c r="N238" s="173"/>
      <c r="O238" s="171" t="e">
        <f t="shared" si="39"/>
        <v>#DIV/0!</v>
      </c>
      <c r="P238" s="166"/>
      <c r="Q238" s="166"/>
      <c r="R238" s="167"/>
      <c r="S238" s="167"/>
      <c r="T238" s="129"/>
      <c r="U238" s="22"/>
    </row>
    <row r="239" spans="1:21" s="7" customFormat="1" ht="61.5" customHeight="1">
      <c r="A239" s="50">
        <v>8</v>
      </c>
      <c r="B239" s="7">
        <v>41</v>
      </c>
      <c r="C239" s="32" t="s">
        <v>107</v>
      </c>
      <c r="D239" s="32" t="s">
        <v>442</v>
      </c>
      <c r="E239" s="32" t="s">
        <v>443</v>
      </c>
      <c r="F239" s="115" t="s">
        <v>224</v>
      </c>
      <c r="G239" s="43" t="s">
        <v>194</v>
      </c>
      <c r="H239" s="166"/>
      <c r="I239" s="166"/>
      <c r="J239" s="176"/>
      <c r="K239" s="166">
        <f>K240+K241+K242+K243</f>
        <v>16031.572</v>
      </c>
      <c r="L239" s="166">
        <f>L240+L241+L242+L243</f>
        <v>0</v>
      </c>
      <c r="M239" s="166">
        <f>M240+M241+M242+M243</f>
        <v>2736.5807600000003</v>
      </c>
      <c r="N239" s="166">
        <f>N240+N241+N242+N243</f>
        <v>2736.5807600000003</v>
      </c>
      <c r="O239" s="167">
        <f aca="true" t="shared" si="48" ref="O239:O245">M239/K239*100</f>
        <v>17.069946478112065</v>
      </c>
      <c r="P239" s="166">
        <f>H239+K239</f>
        <v>16031.572</v>
      </c>
      <c r="Q239" s="166">
        <f>I239+N239</f>
        <v>2736.5807600000003</v>
      </c>
      <c r="R239" s="167">
        <f aca="true" t="shared" si="49" ref="R239:R247">Q239-P239</f>
        <v>-13294.99124</v>
      </c>
      <c r="S239" s="167">
        <f>Q239/P239*100</f>
        <v>17.069946478112065</v>
      </c>
      <c r="T239" s="129">
        <f>SUM(T240:T243)</f>
        <v>16931.572</v>
      </c>
      <c r="U239" s="22"/>
    </row>
    <row r="240" spans="3:21" s="39" customFormat="1" ht="72.75" customHeight="1">
      <c r="C240" s="35"/>
      <c r="D240" s="35"/>
      <c r="E240" s="35"/>
      <c r="F240" s="119"/>
      <c r="G240" s="37" t="s">
        <v>322</v>
      </c>
      <c r="H240" s="170"/>
      <c r="I240" s="170"/>
      <c r="J240" s="176"/>
      <c r="K240" s="170">
        <v>14481.572</v>
      </c>
      <c r="L240" s="170"/>
      <c r="M240" s="170">
        <v>2527.33129</v>
      </c>
      <c r="N240" s="170">
        <v>2527.33129</v>
      </c>
      <c r="O240" s="167">
        <f t="shared" si="48"/>
        <v>17.452050716593476</v>
      </c>
      <c r="P240" s="166">
        <f>H240+K240</f>
        <v>14481.572</v>
      </c>
      <c r="Q240" s="166">
        <f>I240+N240</f>
        <v>2527.33129</v>
      </c>
      <c r="R240" s="167">
        <f t="shared" si="49"/>
        <v>-11954.24071</v>
      </c>
      <c r="S240" s="167">
        <f>Q240/P240*100</f>
        <v>17.452050716593476</v>
      </c>
      <c r="T240" s="38">
        <f>1500+100+414.1+3000+3580+95+130.9+5234.572+2500+200-150-1273</f>
        <v>15331.572</v>
      </c>
      <c r="U240" s="54"/>
    </row>
    <row r="241" spans="1:21" s="107" customFormat="1" ht="48" customHeight="1">
      <c r="A241" s="39"/>
      <c r="B241" s="39"/>
      <c r="C241" s="35"/>
      <c r="D241" s="35"/>
      <c r="E241" s="35"/>
      <c r="F241" s="119"/>
      <c r="G241" s="55" t="s">
        <v>394</v>
      </c>
      <c r="H241" s="170"/>
      <c r="I241" s="170"/>
      <c r="J241" s="176"/>
      <c r="K241" s="170">
        <v>1550</v>
      </c>
      <c r="L241" s="170"/>
      <c r="M241" s="181">
        <v>209.24947</v>
      </c>
      <c r="N241" s="181">
        <v>209.24947</v>
      </c>
      <c r="O241" s="167">
        <f t="shared" si="48"/>
        <v>13.499965806451614</v>
      </c>
      <c r="P241" s="166">
        <f>H241+K241</f>
        <v>1550</v>
      </c>
      <c r="Q241" s="166">
        <f>I241+N241</f>
        <v>209.24947</v>
      </c>
      <c r="R241" s="167">
        <f t="shared" si="49"/>
        <v>-1340.75053</v>
      </c>
      <c r="S241" s="167">
        <f>Q241/P241*100</f>
        <v>13.499965806451614</v>
      </c>
      <c r="T241" s="38">
        <v>1600</v>
      </c>
      <c r="U241" s="106"/>
    </row>
    <row r="242" spans="3:21" s="39" customFormat="1" ht="88.5" customHeight="1" hidden="1">
      <c r="C242" s="35"/>
      <c r="D242" s="35"/>
      <c r="E242" s="35"/>
      <c r="F242" s="119"/>
      <c r="G242" s="37" t="s">
        <v>156</v>
      </c>
      <c r="H242" s="190">
        <f>I242+L242</f>
        <v>0</v>
      </c>
      <c r="I242" s="191"/>
      <c r="J242" s="192"/>
      <c r="K242" s="191"/>
      <c r="L242" s="191"/>
      <c r="M242" s="191"/>
      <c r="N242" s="191"/>
      <c r="O242" s="167" t="e">
        <f t="shared" si="48"/>
        <v>#DIV/0!</v>
      </c>
      <c r="P242" s="190">
        <f>H242+K242</f>
        <v>0</v>
      </c>
      <c r="Q242" s="190">
        <f>I242+N242</f>
        <v>0</v>
      </c>
      <c r="R242" s="193">
        <f t="shared" si="49"/>
        <v>0</v>
      </c>
      <c r="S242" s="193">
        <v>0</v>
      </c>
      <c r="T242" s="133"/>
      <c r="U242" s="54"/>
    </row>
    <row r="243" spans="3:21" s="39" customFormat="1" ht="54.75" customHeight="1" hidden="1">
      <c r="C243" s="35"/>
      <c r="D243" s="35"/>
      <c r="E243" s="35"/>
      <c r="F243" s="119"/>
      <c r="G243" s="37" t="s">
        <v>392</v>
      </c>
      <c r="H243" s="190">
        <f>I243+L243</f>
        <v>0</v>
      </c>
      <c r="I243" s="191"/>
      <c r="J243" s="192"/>
      <c r="K243" s="191"/>
      <c r="L243" s="191"/>
      <c r="M243" s="191"/>
      <c r="N243" s="191"/>
      <c r="O243" s="167" t="e">
        <f t="shared" si="48"/>
        <v>#DIV/0!</v>
      </c>
      <c r="P243" s="190">
        <f>H243+K243</f>
        <v>0</v>
      </c>
      <c r="Q243" s="190">
        <f>I243+N243</f>
        <v>0</v>
      </c>
      <c r="R243" s="193">
        <f t="shared" si="49"/>
        <v>0</v>
      </c>
      <c r="S243" s="193">
        <v>0</v>
      </c>
      <c r="T243" s="133"/>
      <c r="U243" s="54"/>
    </row>
    <row r="244" spans="2:21" s="7" customFormat="1" ht="69" customHeight="1">
      <c r="B244" s="7">
        <v>73</v>
      </c>
      <c r="C244" s="32" t="s">
        <v>108</v>
      </c>
      <c r="D244" s="32" t="s">
        <v>695</v>
      </c>
      <c r="E244" s="32" t="s">
        <v>462</v>
      </c>
      <c r="F244" s="115" t="s">
        <v>11</v>
      </c>
      <c r="G244" s="40" t="s">
        <v>12</v>
      </c>
      <c r="H244" s="166"/>
      <c r="I244" s="166">
        <f>I245</f>
        <v>0</v>
      </c>
      <c r="J244" s="176"/>
      <c r="K244" s="166">
        <f>K245</f>
        <v>395</v>
      </c>
      <c r="L244" s="166">
        <f>L245</f>
        <v>0</v>
      </c>
      <c r="M244" s="166">
        <f>M245</f>
        <v>98.0364</v>
      </c>
      <c r="N244" s="166">
        <f>N245</f>
        <v>98.0364</v>
      </c>
      <c r="O244" s="167">
        <f t="shared" si="48"/>
        <v>24.819341772151898</v>
      </c>
      <c r="P244" s="166">
        <f>K244+H244</f>
        <v>395</v>
      </c>
      <c r="Q244" s="166">
        <f>I244+M244</f>
        <v>98.0364</v>
      </c>
      <c r="R244" s="167">
        <f t="shared" si="49"/>
        <v>-296.9636</v>
      </c>
      <c r="S244" s="167">
        <f>Q244/P244*100</f>
        <v>24.819341772151898</v>
      </c>
      <c r="T244" s="14">
        <f>T245</f>
        <v>395</v>
      </c>
      <c r="U244" s="22"/>
    </row>
    <row r="245" spans="3:21" s="7" customFormat="1" ht="69" customHeight="1">
      <c r="C245" s="32"/>
      <c r="D245" s="32"/>
      <c r="E245" s="32"/>
      <c r="F245" s="115"/>
      <c r="G245" s="153" t="s">
        <v>696</v>
      </c>
      <c r="H245" s="166"/>
      <c r="I245" s="166"/>
      <c r="J245" s="176"/>
      <c r="K245" s="166">
        <v>395</v>
      </c>
      <c r="L245" s="166"/>
      <c r="M245" s="170">
        <v>98.0364</v>
      </c>
      <c r="N245" s="170">
        <v>98.0364</v>
      </c>
      <c r="O245" s="167">
        <f t="shared" si="48"/>
        <v>24.819341772151898</v>
      </c>
      <c r="P245" s="166">
        <f>K245+H245</f>
        <v>395</v>
      </c>
      <c r="Q245" s="166">
        <f>I245+M245</f>
        <v>98.0364</v>
      </c>
      <c r="R245" s="167">
        <f t="shared" si="49"/>
        <v>-296.9636</v>
      </c>
      <c r="S245" s="167">
        <f>Q245/P245*100</f>
        <v>24.819341772151898</v>
      </c>
      <c r="T245" s="14">
        <v>395</v>
      </c>
      <c r="U245" s="22"/>
    </row>
    <row r="246" spans="1:21" s="7" customFormat="1" ht="60" customHeight="1">
      <c r="A246" s="50">
        <v>7</v>
      </c>
      <c r="B246" s="7">
        <v>42</v>
      </c>
      <c r="C246" s="32" t="s">
        <v>109</v>
      </c>
      <c r="D246" s="32" t="s">
        <v>580</v>
      </c>
      <c r="E246" s="32" t="s">
        <v>581</v>
      </c>
      <c r="F246" s="115" t="s">
        <v>222</v>
      </c>
      <c r="G246" s="43" t="s">
        <v>320</v>
      </c>
      <c r="H246" s="166">
        <f>H248+H249+H247</f>
        <v>300</v>
      </c>
      <c r="I246" s="166">
        <f>I248+I249+I247</f>
        <v>0</v>
      </c>
      <c r="J246" s="176">
        <f t="shared" si="47"/>
        <v>0</v>
      </c>
      <c r="K246" s="166">
        <f>K247</f>
        <v>9.5</v>
      </c>
      <c r="L246" s="166">
        <f>L247</f>
        <v>0</v>
      </c>
      <c r="M246" s="166">
        <f>M247</f>
        <v>0</v>
      </c>
      <c r="N246" s="166">
        <f>N247</f>
        <v>0</v>
      </c>
      <c r="O246" s="167">
        <f>O247+O248+O249</f>
        <v>0</v>
      </c>
      <c r="P246" s="166">
        <f>H246+K246</f>
        <v>309.5</v>
      </c>
      <c r="Q246" s="166">
        <f>I246+M246</f>
        <v>0</v>
      </c>
      <c r="R246" s="167">
        <f t="shared" si="49"/>
        <v>-309.5</v>
      </c>
      <c r="S246" s="167">
        <f>Q246/P246*100</f>
        <v>0</v>
      </c>
      <c r="T246" s="129">
        <f>T247+T248+T249</f>
        <v>1500</v>
      </c>
      <c r="U246" s="22"/>
    </row>
    <row r="247" spans="1:21" s="39" customFormat="1" ht="62.25" customHeight="1">
      <c r="A247" s="94"/>
      <c r="C247" s="35"/>
      <c r="D247" s="35"/>
      <c r="E247" s="35"/>
      <c r="F247" s="119"/>
      <c r="G247" s="37" t="s">
        <v>321</v>
      </c>
      <c r="H247" s="170">
        <v>300</v>
      </c>
      <c r="I247" s="170">
        <v>0</v>
      </c>
      <c r="J247" s="176">
        <f t="shared" si="47"/>
        <v>0</v>
      </c>
      <c r="K247" s="170">
        <v>9.5</v>
      </c>
      <c r="L247" s="170"/>
      <c r="M247" s="170">
        <v>0</v>
      </c>
      <c r="N247" s="170">
        <v>0</v>
      </c>
      <c r="O247" s="171"/>
      <c r="P247" s="166">
        <f>H247+K247</f>
        <v>309.5</v>
      </c>
      <c r="Q247" s="166">
        <f>I247+M247</f>
        <v>0</v>
      </c>
      <c r="R247" s="167">
        <f t="shared" si="49"/>
        <v>-309.5</v>
      </c>
      <c r="S247" s="167">
        <f>Q247/P247*100</f>
        <v>0</v>
      </c>
      <c r="T247" s="38">
        <v>1500</v>
      </c>
      <c r="U247" s="54"/>
    </row>
    <row r="248" spans="1:21" s="39" customFormat="1" ht="58.5" customHeight="1" hidden="1">
      <c r="A248" s="94"/>
      <c r="C248" s="35"/>
      <c r="D248" s="35"/>
      <c r="E248" s="35"/>
      <c r="F248" s="119"/>
      <c r="G248" s="37" t="s">
        <v>322</v>
      </c>
      <c r="H248" s="170"/>
      <c r="I248" s="170"/>
      <c r="J248" s="176" t="e">
        <f t="shared" si="47"/>
        <v>#DIV/0!</v>
      </c>
      <c r="K248" s="170"/>
      <c r="L248" s="170"/>
      <c r="M248" s="170"/>
      <c r="N248" s="170"/>
      <c r="O248" s="171"/>
      <c r="P248" s="170"/>
      <c r="Q248" s="170"/>
      <c r="R248" s="171"/>
      <c r="S248" s="171"/>
      <c r="T248" s="133"/>
      <c r="U248" s="54"/>
    </row>
    <row r="249" spans="1:21" s="7" customFormat="1" ht="63" customHeight="1" hidden="1">
      <c r="A249" s="50"/>
      <c r="C249" s="32"/>
      <c r="D249" s="32"/>
      <c r="E249" s="32"/>
      <c r="F249" s="115"/>
      <c r="G249" s="37" t="s">
        <v>347</v>
      </c>
      <c r="H249" s="166"/>
      <c r="I249" s="166"/>
      <c r="J249" s="176" t="e">
        <f t="shared" si="47"/>
        <v>#DIV/0!</v>
      </c>
      <c r="K249" s="166"/>
      <c r="L249" s="166"/>
      <c r="M249" s="166"/>
      <c r="N249" s="166"/>
      <c r="O249" s="167"/>
      <c r="P249" s="166"/>
      <c r="Q249" s="166"/>
      <c r="R249" s="167"/>
      <c r="S249" s="167"/>
      <c r="T249" s="129"/>
      <c r="U249" s="22"/>
    </row>
    <row r="250" spans="1:21" s="7" customFormat="1" ht="69.75" customHeight="1">
      <c r="A250" s="50">
        <v>6</v>
      </c>
      <c r="B250" s="7">
        <v>43</v>
      </c>
      <c r="C250" s="32" t="s">
        <v>110</v>
      </c>
      <c r="D250" s="32" t="s">
        <v>444</v>
      </c>
      <c r="E250" s="32" t="s">
        <v>443</v>
      </c>
      <c r="F250" s="115" t="s">
        <v>249</v>
      </c>
      <c r="G250" s="42" t="s">
        <v>195</v>
      </c>
      <c r="H250" s="194">
        <f>SUM(H251:H265)</f>
        <v>3704.942</v>
      </c>
      <c r="I250" s="194">
        <f>SUM(I251:I265)</f>
        <v>3093.8058199999996</v>
      </c>
      <c r="J250" s="176">
        <f t="shared" si="47"/>
        <v>83.5048381324188</v>
      </c>
      <c r="K250" s="194">
        <f>SUM(K251:K265)</f>
        <v>1059.87</v>
      </c>
      <c r="L250" s="194">
        <f>SUM(L251:L265)</f>
        <v>0</v>
      </c>
      <c r="M250" s="194">
        <f>M260+M262+M263+M264+M265</f>
        <v>299.48508000000004</v>
      </c>
      <c r="N250" s="194">
        <f>N260+N262+N263+N264+N265</f>
        <v>299.48508000000004</v>
      </c>
      <c r="O250" s="195">
        <f>M250/K250*100</f>
        <v>28.25677488748621</v>
      </c>
      <c r="P250" s="194">
        <f>H250+K250</f>
        <v>4764.812</v>
      </c>
      <c r="Q250" s="194">
        <f>I250+M250</f>
        <v>3393.2908999999995</v>
      </c>
      <c r="R250" s="195">
        <f>Q250-P250</f>
        <v>-1371.5211000000004</v>
      </c>
      <c r="S250" s="195">
        <f>Q250/P250*100</f>
        <v>71.21563033336886</v>
      </c>
      <c r="T250" s="140">
        <f>SUM(T251:T265)</f>
        <v>1059.87</v>
      </c>
      <c r="U250" s="22"/>
    </row>
    <row r="251" spans="3:20" s="7" customFormat="1" ht="29.25" customHeight="1" hidden="1">
      <c r="C251" s="35" t="s">
        <v>110</v>
      </c>
      <c r="D251" s="35"/>
      <c r="E251" s="35"/>
      <c r="F251" s="119" t="s">
        <v>249</v>
      </c>
      <c r="G251" s="52" t="s">
        <v>187</v>
      </c>
      <c r="H251" s="166"/>
      <c r="I251" s="166"/>
      <c r="J251" s="176"/>
      <c r="K251" s="166"/>
      <c r="L251" s="166"/>
      <c r="M251" s="166"/>
      <c r="N251" s="166"/>
      <c r="O251" s="195"/>
      <c r="P251" s="194"/>
      <c r="Q251" s="194"/>
      <c r="R251" s="195"/>
      <c r="S251" s="195"/>
      <c r="T251" s="129"/>
    </row>
    <row r="252" spans="3:20" s="7" customFormat="1" ht="36.75" customHeight="1" hidden="1">
      <c r="C252" s="35" t="s">
        <v>110</v>
      </c>
      <c r="D252" s="35"/>
      <c r="E252" s="35"/>
      <c r="F252" s="119" t="s">
        <v>249</v>
      </c>
      <c r="G252" s="52" t="s">
        <v>187</v>
      </c>
      <c r="H252" s="166"/>
      <c r="I252" s="166"/>
      <c r="J252" s="176"/>
      <c r="K252" s="166"/>
      <c r="L252" s="166"/>
      <c r="M252" s="166"/>
      <c r="N252" s="166"/>
      <c r="O252" s="195"/>
      <c r="P252" s="194"/>
      <c r="Q252" s="194"/>
      <c r="R252" s="195"/>
      <c r="S252" s="195"/>
      <c r="T252" s="129"/>
    </row>
    <row r="253" spans="3:20" s="7" customFormat="1" ht="171" customHeight="1" hidden="1">
      <c r="C253" s="35" t="s">
        <v>110</v>
      </c>
      <c r="D253" s="35"/>
      <c r="E253" s="35"/>
      <c r="F253" s="119" t="s">
        <v>249</v>
      </c>
      <c r="G253" s="52" t="s">
        <v>187</v>
      </c>
      <c r="H253" s="166"/>
      <c r="I253" s="166"/>
      <c r="J253" s="176"/>
      <c r="K253" s="166"/>
      <c r="L253" s="166"/>
      <c r="M253" s="166"/>
      <c r="N253" s="166"/>
      <c r="O253" s="195"/>
      <c r="P253" s="194"/>
      <c r="Q253" s="194"/>
      <c r="R253" s="195"/>
      <c r="S253" s="195"/>
      <c r="T253" s="129"/>
    </row>
    <row r="254" spans="3:20" s="7" customFormat="1" ht="116.25" customHeight="1" hidden="1">
      <c r="C254" s="35" t="s">
        <v>110</v>
      </c>
      <c r="D254" s="35"/>
      <c r="E254" s="35"/>
      <c r="F254" s="119" t="s">
        <v>249</v>
      </c>
      <c r="G254" s="52" t="s">
        <v>187</v>
      </c>
      <c r="H254" s="166"/>
      <c r="I254" s="166"/>
      <c r="J254" s="176"/>
      <c r="K254" s="166"/>
      <c r="L254" s="166"/>
      <c r="M254" s="166"/>
      <c r="N254" s="166"/>
      <c r="O254" s="195"/>
      <c r="P254" s="194"/>
      <c r="Q254" s="194"/>
      <c r="R254" s="195"/>
      <c r="S254" s="195"/>
      <c r="T254" s="134"/>
    </row>
    <row r="255" spans="3:20" s="7" customFormat="1" ht="96.75" customHeight="1" hidden="1">
      <c r="C255" s="35" t="s">
        <v>110</v>
      </c>
      <c r="D255" s="35"/>
      <c r="E255" s="35"/>
      <c r="F255" s="119" t="s">
        <v>249</v>
      </c>
      <c r="G255" s="52" t="s">
        <v>187</v>
      </c>
      <c r="H255" s="166"/>
      <c r="I255" s="166"/>
      <c r="J255" s="176"/>
      <c r="K255" s="166"/>
      <c r="L255" s="166"/>
      <c r="M255" s="166"/>
      <c r="N255" s="166"/>
      <c r="O255" s="195"/>
      <c r="P255" s="194"/>
      <c r="Q255" s="194"/>
      <c r="R255" s="195"/>
      <c r="S255" s="195"/>
      <c r="T255" s="129"/>
    </row>
    <row r="256" spans="3:20" s="7" customFormat="1" ht="96.75" customHeight="1" hidden="1">
      <c r="C256" s="35" t="s">
        <v>110</v>
      </c>
      <c r="D256" s="35"/>
      <c r="E256" s="35"/>
      <c r="F256" s="119" t="s">
        <v>249</v>
      </c>
      <c r="G256" s="52" t="s">
        <v>187</v>
      </c>
      <c r="H256" s="166"/>
      <c r="I256" s="166"/>
      <c r="J256" s="176"/>
      <c r="K256" s="166"/>
      <c r="L256" s="166"/>
      <c r="M256" s="166"/>
      <c r="N256" s="166"/>
      <c r="O256" s="195"/>
      <c r="P256" s="194"/>
      <c r="Q256" s="194"/>
      <c r="R256" s="195"/>
      <c r="S256" s="195"/>
      <c r="T256" s="129"/>
    </row>
    <row r="257" spans="3:20" s="7" customFormat="1" ht="111" customHeight="1" hidden="1">
      <c r="C257" s="35" t="s">
        <v>110</v>
      </c>
      <c r="D257" s="35"/>
      <c r="E257" s="35"/>
      <c r="F257" s="119" t="s">
        <v>249</v>
      </c>
      <c r="G257" s="52" t="s">
        <v>187</v>
      </c>
      <c r="H257" s="166"/>
      <c r="I257" s="166"/>
      <c r="J257" s="176"/>
      <c r="K257" s="166"/>
      <c r="L257" s="166"/>
      <c r="M257" s="166"/>
      <c r="N257" s="166"/>
      <c r="O257" s="195"/>
      <c r="P257" s="194"/>
      <c r="Q257" s="194"/>
      <c r="R257" s="195"/>
      <c r="S257" s="195"/>
      <c r="T257" s="129"/>
    </row>
    <row r="258" spans="3:20" s="7" customFormat="1" ht="165" customHeight="1" hidden="1">
      <c r="C258" s="35" t="s">
        <v>110</v>
      </c>
      <c r="D258" s="35"/>
      <c r="E258" s="35"/>
      <c r="F258" s="119" t="s">
        <v>249</v>
      </c>
      <c r="G258" s="52" t="s">
        <v>187</v>
      </c>
      <c r="H258" s="166"/>
      <c r="I258" s="166"/>
      <c r="J258" s="176"/>
      <c r="K258" s="166"/>
      <c r="L258" s="166"/>
      <c r="M258" s="166"/>
      <c r="N258" s="166"/>
      <c r="O258" s="195"/>
      <c r="P258" s="194"/>
      <c r="Q258" s="194"/>
      <c r="R258" s="195"/>
      <c r="S258" s="195"/>
      <c r="T258" s="129"/>
    </row>
    <row r="259" spans="3:20" s="18" customFormat="1" ht="150.75" customHeight="1" hidden="1">
      <c r="C259" s="35" t="s">
        <v>110</v>
      </c>
      <c r="D259" s="35"/>
      <c r="E259" s="35"/>
      <c r="F259" s="119" t="s">
        <v>249</v>
      </c>
      <c r="G259" s="52" t="s">
        <v>187</v>
      </c>
      <c r="H259" s="166"/>
      <c r="I259" s="166"/>
      <c r="J259" s="176"/>
      <c r="K259" s="166"/>
      <c r="L259" s="166"/>
      <c r="M259" s="173"/>
      <c r="N259" s="173"/>
      <c r="O259" s="195"/>
      <c r="P259" s="194"/>
      <c r="Q259" s="194"/>
      <c r="R259" s="195"/>
      <c r="S259" s="195"/>
      <c r="T259" s="134"/>
    </row>
    <row r="260" spans="3:20" s="39" customFormat="1" ht="62.25" customHeight="1">
      <c r="C260" s="35"/>
      <c r="D260" s="35"/>
      <c r="E260" s="35"/>
      <c r="F260" s="119"/>
      <c r="G260" s="52" t="s">
        <v>689</v>
      </c>
      <c r="H260" s="170">
        <v>202.7</v>
      </c>
      <c r="I260" s="170">
        <v>79.65001</v>
      </c>
      <c r="J260" s="176">
        <f t="shared" si="47"/>
        <v>39.2945288603848</v>
      </c>
      <c r="K260" s="170">
        <v>192</v>
      </c>
      <c r="L260" s="170"/>
      <c r="M260" s="170">
        <v>42</v>
      </c>
      <c r="N260" s="170">
        <v>42</v>
      </c>
      <c r="O260" s="195">
        <f aca="true" t="shared" si="50" ref="O260:O265">M260/K260*100</f>
        <v>21.875</v>
      </c>
      <c r="P260" s="194">
        <f aca="true" t="shared" si="51" ref="P260:P265">H260+K260</f>
        <v>394.7</v>
      </c>
      <c r="Q260" s="194">
        <f aca="true" t="shared" si="52" ref="Q260:Q265">I260+M260</f>
        <v>121.65001</v>
      </c>
      <c r="R260" s="195">
        <f aca="true" t="shared" si="53" ref="R260:R272">Q260-P260</f>
        <v>-273.04999</v>
      </c>
      <c r="S260" s="195">
        <f aca="true" t="shared" si="54" ref="S260:S265">Q260/P260*100</f>
        <v>30.820879148720547</v>
      </c>
      <c r="T260" s="38">
        <f>42+150</f>
        <v>192</v>
      </c>
    </row>
    <row r="261" spans="3:20" s="39" customFormat="1" ht="81" customHeight="1" hidden="1">
      <c r="C261" s="35"/>
      <c r="D261" s="35"/>
      <c r="E261" s="35"/>
      <c r="F261" s="119"/>
      <c r="G261" s="52" t="s">
        <v>351</v>
      </c>
      <c r="H261" s="170"/>
      <c r="I261" s="170"/>
      <c r="J261" s="176" t="e">
        <f t="shared" si="47"/>
        <v>#DIV/0!</v>
      </c>
      <c r="K261" s="170"/>
      <c r="L261" s="170"/>
      <c r="M261" s="170"/>
      <c r="N261" s="170"/>
      <c r="O261" s="195" t="e">
        <f t="shared" si="50"/>
        <v>#DIV/0!</v>
      </c>
      <c r="P261" s="194">
        <f t="shared" si="51"/>
        <v>0</v>
      </c>
      <c r="Q261" s="194">
        <f t="shared" si="52"/>
        <v>0</v>
      </c>
      <c r="R261" s="195">
        <f t="shared" si="53"/>
        <v>0</v>
      </c>
      <c r="S261" s="195" t="e">
        <f t="shared" si="54"/>
        <v>#DIV/0!</v>
      </c>
      <c r="T261" s="133"/>
    </row>
    <row r="262" spans="3:20" s="39" customFormat="1" ht="78" customHeight="1">
      <c r="C262" s="35"/>
      <c r="D262" s="35"/>
      <c r="E262" s="35"/>
      <c r="F262" s="119"/>
      <c r="G262" s="52" t="s">
        <v>690</v>
      </c>
      <c r="H262" s="170"/>
      <c r="I262" s="170"/>
      <c r="J262" s="176"/>
      <c r="K262" s="170">
        <v>825</v>
      </c>
      <c r="L262" s="170"/>
      <c r="M262" s="170">
        <v>214.61508</v>
      </c>
      <c r="N262" s="170">
        <v>214.61508</v>
      </c>
      <c r="O262" s="195">
        <f t="shared" si="50"/>
        <v>26.013949090909094</v>
      </c>
      <c r="P262" s="194">
        <f t="shared" si="51"/>
        <v>825</v>
      </c>
      <c r="Q262" s="194">
        <f t="shared" si="52"/>
        <v>214.61508</v>
      </c>
      <c r="R262" s="195">
        <f t="shared" si="53"/>
        <v>-610.38492</v>
      </c>
      <c r="S262" s="195">
        <f t="shared" si="54"/>
        <v>26.013949090909094</v>
      </c>
      <c r="T262" s="38">
        <v>825</v>
      </c>
    </row>
    <row r="263" spans="3:20" s="39" customFormat="1" ht="62.25" customHeight="1">
      <c r="C263" s="35"/>
      <c r="D263" s="35"/>
      <c r="E263" s="35"/>
      <c r="F263" s="119"/>
      <c r="G263" s="52" t="s">
        <v>366</v>
      </c>
      <c r="H263" s="170">
        <f>625.2+2671.162-7</f>
        <v>3289.362</v>
      </c>
      <c r="I263" s="170">
        <v>2952.19528</v>
      </c>
      <c r="J263" s="176">
        <f t="shared" si="47"/>
        <v>89.74978369665607</v>
      </c>
      <c r="K263" s="191"/>
      <c r="L263" s="191"/>
      <c r="M263" s="191"/>
      <c r="N263" s="191"/>
      <c r="O263" s="196" t="e">
        <f t="shared" si="50"/>
        <v>#DIV/0!</v>
      </c>
      <c r="P263" s="194">
        <f t="shared" si="51"/>
        <v>3289.362</v>
      </c>
      <c r="Q263" s="194">
        <f t="shared" si="52"/>
        <v>2952.19528</v>
      </c>
      <c r="R263" s="195">
        <f t="shared" si="53"/>
        <v>-337.16672000000017</v>
      </c>
      <c r="S263" s="195">
        <f t="shared" si="54"/>
        <v>89.74978369665607</v>
      </c>
      <c r="T263" s="133"/>
    </row>
    <row r="264" spans="3:20" s="39" customFormat="1" ht="60" customHeight="1">
      <c r="C264" s="35"/>
      <c r="D264" s="35"/>
      <c r="E264" s="35"/>
      <c r="F264" s="119"/>
      <c r="G264" s="52" t="s">
        <v>367</v>
      </c>
      <c r="H264" s="170">
        <v>9</v>
      </c>
      <c r="I264" s="170">
        <v>0.57748</v>
      </c>
      <c r="J264" s="176">
        <f t="shared" si="47"/>
        <v>6.416444444444444</v>
      </c>
      <c r="K264" s="191"/>
      <c r="L264" s="191"/>
      <c r="M264" s="191"/>
      <c r="N264" s="191"/>
      <c r="O264" s="196" t="e">
        <f t="shared" si="50"/>
        <v>#DIV/0!</v>
      </c>
      <c r="P264" s="194">
        <f t="shared" si="51"/>
        <v>9</v>
      </c>
      <c r="Q264" s="194">
        <f t="shared" si="52"/>
        <v>0.57748</v>
      </c>
      <c r="R264" s="195">
        <f t="shared" si="53"/>
        <v>-8.42252</v>
      </c>
      <c r="S264" s="195">
        <f t="shared" si="54"/>
        <v>6.416444444444444</v>
      </c>
      <c r="T264" s="133"/>
    </row>
    <row r="265" spans="3:20" s="7" customFormat="1" ht="64.5" customHeight="1">
      <c r="C265" s="32"/>
      <c r="D265" s="32"/>
      <c r="E265" s="32"/>
      <c r="F265" s="119"/>
      <c r="G265" s="52" t="s">
        <v>686</v>
      </c>
      <c r="H265" s="166">
        <f>50+150+3.88</f>
        <v>203.88</v>
      </c>
      <c r="I265" s="166">
        <v>61.38305</v>
      </c>
      <c r="J265" s="176">
        <f t="shared" si="47"/>
        <v>30.107440651363547</v>
      </c>
      <c r="K265" s="166">
        <v>42.87</v>
      </c>
      <c r="L265" s="166"/>
      <c r="M265" s="166">
        <v>42.87</v>
      </c>
      <c r="N265" s="166">
        <v>42.87</v>
      </c>
      <c r="O265" s="195">
        <f t="shared" si="50"/>
        <v>100</v>
      </c>
      <c r="P265" s="194">
        <f t="shared" si="51"/>
        <v>246.75</v>
      </c>
      <c r="Q265" s="194">
        <f t="shared" si="52"/>
        <v>104.25305</v>
      </c>
      <c r="R265" s="195">
        <f t="shared" si="53"/>
        <v>-142.49695</v>
      </c>
      <c r="S265" s="195">
        <f t="shared" si="54"/>
        <v>42.25047619047619</v>
      </c>
      <c r="T265" s="38">
        <v>42.87</v>
      </c>
    </row>
    <row r="266" spans="3:20" s="7" customFormat="1" ht="143.25" customHeight="1" hidden="1">
      <c r="C266" s="32" t="s">
        <v>373</v>
      </c>
      <c r="D266" s="32"/>
      <c r="E266" s="32"/>
      <c r="F266" s="115" t="s">
        <v>353</v>
      </c>
      <c r="G266" s="42" t="s">
        <v>369</v>
      </c>
      <c r="H266" s="166"/>
      <c r="I266" s="166"/>
      <c r="J266" s="176" t="e">
        <f t="shared" si="47"/>
        <v>#DIV/0!</v>
      </c>
      <c r="K266" s="166"/>
      <c r="L266" s="166"/>
      <c r="M266" s="166"/>
      <c r="N266" s="166"/>
      <c r="O266" s="195" t="e">
        <f aca="true" t="shared" si="55" ref="O266:O271">M266/K266*100</f>
        <v>#DIV/0!</v>
      </c>
      <c r="P266" s="166"/>
      <c r="Q266" s="166"/>
      <c r="R266" s="195">
        <f t="shared" si="53"/>
        <v>0</v>
      </c>
      <c r="S266" s="195" t="e">
        <f aca="true" t="shared" si="56" ref="S266:S272">Q266/P266*100</f>
        <v>#DIV/0!</v>
      </c>
      <c r="T266" s="129"/>
    </row>
    <row r="267" spans="1:21" s="7" customFormat="1" ht="67.5" customHeight="1" hidden="1">
      <c r="A267" s="50"/>
      <c r="C267" s="32"/>
      <c r="D267" s="32"/>
      <c r="E267" s="32"/>
      <c r="F267" s="115"/>
      <c r="G267" s="45" t="s">
        <v>331</v>
      </c>
      <c r="H267" s="166"/>
      <c r="I267" s="166"/>
      <c r="J267" s="176" t="e">
        <f t="shared" si="47"/>
        <v>#DIV/0!</v>
      </c>
      <c r="K267" s="166"/>
      <c r="L267" s="166"/>
      <c r="M267" s="166"/>
      <c r="N267" s="166"/>
      <c r="O267" s="195" t="e">
        <f t="shared" si="55"/>
        <v>#DIV/0!</v>
      </c>
      <c r="P267" s="166"/>
      <c r="Q267" s="166"/>
      <c r="R267" s="195">
        <f t="shared" si="53"/>
        <v>0</v>
      </c>
      <c r="S267" s="195" t="e">
        <f t="shared" si="56"/>
        <v>#DIV/0!</v>
      </c>
      <c r="T267" s="129"/>
      <c r="U267" s="22"/>
    </row>
    <row r="268" spans="3:21" s="7" customFormat="1" ht="60" customHeight="1">
      <c r="C268" s="32" t="s">
        <v>710</v>
      </c>
      <c r="D268" s="32" t="s">
        <v>612</v>
      </c>
      <c r="E268" s="32" t="s">
        <v>611</v>
      </c>
      <c r="F268" s="119"/>
      <c r="G268" s="33" t="s">
        <v>712</v>
      </c>
      <c r="H268" s="168">
        <f>H269</f>
        <v>150</v>
      </c>
      <c r="I268" s="166">
        <f>SUM(I269)</f>
        <v>0</v>
      </c>
      <c r="J268" s="176">
        <f t="shared" si="47"/>
        <v>0</v>
      </c>
      <c r="K268" s="190"/>
      <c r="L268" s="190"/>
      <c r="M268" s="190"/>
      <c r="N268" s="190"/>
      <c r="O268" s="196" t="e">
        <f t="shared" si="55"/>
        <v>#DIV/0!</v>
      </c>
      <c r="P268" s="166">
        <f>H268+K268</f>
        <v>150</v>
      </c>
      <c r="Q268" s="166">
        <f>I268+K268</f>
        <v>0</v>
      </c>
      <c r="R268" s="195">
        <f t="shared" si="53"/>
        <v>-150</v>
      </c>
      <c r="S268" s="195">
        <f t="shared" si="56"/>
        <v>0</v>
      </c>
      <c r="T268" s="129"/>
      <c r="U268" s="22"/>
    </row>
    <row r="269" spans="3:21" s="7" customFormat="1" ht="80.25" customHeight="1">
      <c r="C269" s="32"/>
      <c r="D269" s="32"/>
      <c r="E269" s="32"/>
      <c r="F269" s="119"/>
      <c r="G269" s="33" t="s">
        <v>711</v>
      </c>
      <c r="H269" s="177">
        <v>150</v>
      </c>
      <c r="I269" s="166">
        <v>0</v>
      </c>
      <c r="J269" s="176">
        <f t="shared" si="47"/>
        <v>0</v>
      </c>
      <c r="K269" s="190"/>
      <c r="L269" s="190"/>
      <c r="M269" s="190"/>
      <c r="N269" s="190"/>
      <c r="O269" s="196" t="e">
        <f t="shared" si="55"/>
        <v>#DIV/0!</v>
      </c>
      <c r="P269" s="166">
        <f>H269+K269</f>
        <v>150</v>
      </c>
      <c r="Q269" s="166">
        <f>I269+K269</f>
        <v>0</v>
      </c>
      <c r="R269" s="195">
        <f t="shared" si="53"/>
        <v>-150</v>
      </c>
      <c r="S269" s="195">
        <f t="shared" si="56"/>
        <v>0</v>
      </c>
      <c r="T269" s="129"/>
      <c r="U269" s="22"/>
    </row>
    <row r="270" spans="3:21" s="7" customFormat="1" ht="48" customHeight="1">
      <c r="C270" s="32" t="s">
        <v>310</v>
      </c>
      <c r="D270" s="32" t="s">
        <v>474</v>
      </c>
      <c r="E270" s="32" t="s">
        <v>475</v>
      </c>
      <c r="F270" s="115" t="s">
        <v>3</v>
      </c>
      <c r="G270" s="33" t="s">
        <v>290</v>
      </c>
      <c r="H270" s="168">
        <f>I270+L270</f>
        <v>0</v>
      </c>
      <c r="I270" s="166"/>
      <c r="J270" s="176"/>
      <c r="K270" s="166">
        <f>K271</f>
        <v>127.292</v>
      </c>
      <c r="L270" s="166"/>
      <c r="M270" s="166">
        <f>M271</f>
        <v>127.292</v>
      </c>
      <c r="N270" s="166">
        <f>N271</f>
        <v>0</v>
      </c>
      <c r="O270" s="195">
        <f t="shared" si="55"/>
        <v>100</v>
      </c>
      <c r="P270" s="166">
        <f>H270+K270</f>
        <v>127.292</v>
      </c>
      <c r="Q270" s="166">
        <f>I270+M270</f>
        <v>127.292</v>
      </c>
      <c r="R270" s="195">
        <f t="shared" si="53"/>
        <v>0</v>
      </c>
      <c r="S270" s="195">
        <f t="shared" si="56"/>
        <v>100</v>
      </c>
      <c r="T270" s="129"/>
      <c r="U270" s="22"/>
    </row>
    <row r="271" spans="3:21" s="7" customFormat="1" ht="63" customHeight="1">
      <c r="C271" s="35" t="s">
        <v>311</v>
      </c>
      <c r="D271" s="35" t="s">
        <v>683</v>
      </c>
      <c r="E271" s="35" t="s">
        <v>475</v>
      </c>
      <c r="F271" s="119"/>
      <c r="G271" s="45" t="s">
        <v>684</v>
      </c>
      <c r="H271" s="177">
        <f>I271+L271</f>
        <v>0</v>
      </c>
      <c r="I271" s="166"/>
      <c r="J271" s="176"/>
      <c r="K271" s="166">
        <v>127.292</v>
      </c>
      <c r="L271" s="166"/>
      <c r="M271" s="166">
        <v>127.292</v>
      </c>
      <c r="N271" s="166">
        <v>0</v>
      </c>
      <c r="O271" s="195">
        <f t="shared" si="55"/>
        <v>100</v>
      </c>
      <c r="P271" s="166">
        <f>H271+K271</f>
        <v>127.292</v>
      </c>
      <c r="Q271" s="166">
        <f>I271+M271</f>
        <v>127.292</v>
      </c>
      <c r="R271" s="195">
        <f t="shared" si="53"/>
        <v>0</v>
      </c>
      <c r="S271" s="195">
        <f t="shared" si="56"/>
        <v>100</v>
      </c>
      <c r="T271" s="129"/>
      <c r="U271" s="22"/>
    </row>
    <row r="272" spans="3:22" s="50" customFormat="1" ht="45.75" customHeight="1">
      <c r="C272" s="30"/>
      <c r="D272" s="30"/>
      <c r="E272" s="30"/>
      <c r="F272" s="121"/>
      <c r="G272" s="31" t="s">
        <v>142</v>
      </c>
      <c r="H272" s="174">
        <f>H203+H209+H213+H221+H244+H239+H246+H250++H270+H238+H229+H208+H266+H204+H206+H268</f>
        <v>28945.5</v>
      </c>
      <c r="I272" s="174">
        <f>I203+I209+I213+I221+I244+I239+I246+I250++I270+I238+I229+I208+I266+I204+I206+I268</f>
        <v>15942.264</v>
      </c>
      <c r="J272" s="176">
        <f t="shared" si="47"/>
        <v>55.076830595429335</v>
      </c>
      <c r="K272" s="174">
        <f>K203+K209+K213+K221+K244+K239+K246+K250++K270+K238+K229+K208+K266+K204+K206+K268</f>
        <v>37864.53400000001</v>
      </c>
      <c r="L272" s="174">
        <f>L203+L209+L213+L221+L244+L239+L246+L250++L270+L238+L229+L208+L266+L204+L206+L268</f>
        <v>0</v>
      </c>
      <c r="M272" s="174">
        <f>M203+M209+M213+M221+M244+M239+M246+M250++M270+M238+M229+M208+M266+M204+M206+M268</f>
        <v>5889.189330000002</v>
      </c>
      <c r="N272" s="174">
        <f>N203+N209+N213+N221+N244+N239+N246+N250++N270+N238+N229+N208+N266+N204+N206+N268</f>
        <v>5761.897330000001</v>
      </c>
      <c r="O272" s="195">
        <f>M272/K272*100</f>
        <v>15.553312580051825</v>
      </c>
      <c r="P272" s="174">
        <f>H272+K272</f>
        <v>66810.03400000001</v>
      </c>
      <c r="Q272" s="174">
        <f>I272+M272</f>
        <v>21831.45333</v>
      </c>
      <c r="R272" s="175">
        <f t="shared" si="53"/>
        <v>-44978.58067000001</v>
      </c>
      <c r="S272" s="175">
        <f t="shared" si="56"/>
        <v>32.67690797762503</v>
      </c>
      <c r="T272" s="63" t="e">
        <f>T203+T209+T213+#REF!+T221+T244+T239+T246+T250++T270+T238+T229+T208+T266+T204+T206+T268</f>
        <v>#REF!</v>
      </c>
      <c r="U272" s="22"/>
      <c r="V272" s="53"/>
    </row>
    <row r="273" spans="3:22" s="50" customFormat="1" ht="74.25" customHeight="1">
      <c r="C273" s="50">
        <v>6000000</v>
      </c>
      <c r="D273" s="30"/>
      <c r="E273" s="30"/>
      <c r="F273" s="121"/>
      <c r="G273" s="108" t="s">
        <v>424</v>
      </c>
      <c r="H273" s="174"/>
      <c r="I273" s="174"/>
      <c r="J273" s="176"/>
      <c r="K273" s="174"/>
      <c r="L273" s="174"/>
      <c r="M273" s="174"/>
      <c r="N273" s="174"/>
      <c r="O273" s="175"/>
      <c r="P273" s="174"/>
      <c r="Q273" s="174"/>
      <c r="R273" s="175"/>
      <c r="S273" s="175"/>
      <c r="T273" s="136"/>
      <c r="U273" s="53"/>
      <c r="V273" s="53"/>
    </row>
    <row r="274" spans="3:22" s="50" customFormat="1" ht="77.25" customHeight="1">
      <c r="C274" s="50">
        <v>6010000</v>
      </c>
      <c r="D274" s="30"/>
      <c r="E274" s="30"/>
      <c r="F274" s="121"/>
      <c r="G274" s="48" t="s">
        <v>423</v>
      </c>
      <c r="H274" s="174"/>
      <c r="I274" s="174"/>
      <c r="J274" s="176"/>
      <c r="K274" s="174"/>
      <c r="L274" s="174"/>
      <c r="M274" s="174"/>
      <c r="N274" s="174"/>
      <c r="O274" s="175"/>
      <c r="P274" s="174"/>
      <c r="Q274" s="174"/>
      <c r="R274" s="175"/>
      <c r="S274" s="175"/>
      <c r="T274" s="136"/>
      <c r="U274" s="53"/>
      <c r="V274" s="53"/>
    </row>
    <row r="275" spans="1:20" s="7" customFormat="1" ht="141" customHeight="1">
      <c r="A275" s="7">
        <v>8</v>
      </c>
      <c r="B275" s="7">
        <v>57</v>
      </c>
      <c r="C275" s="32" t="s">
        <v>368</v>
      </c>
      <c r="D275" s="32" t="s">
        <v>437</v>
      </c>
      <c r="E275" s="32" t="s">
        <v>438</v>
      </c>
      <c r="F275" s="115" t="s">
        <v>205</v>
      </c>
      <c r="G275" s="33" t="s">
        <v>623</v>
      </c>
      <c r="H275" s="168">
        <v>828.8</v>
      </c>
      <c r="I275" s="168">
        <v>436.82684</v>
      </c>
      <c r="J275" s="176">
        <f t="shared" si="47"/>
        <v>52.705941119691126</v>
      </c>
      <c r="K275" s="168"/>
      <c r="L275" s="168"/>
      <c r="M275" s="173"/>
      <c r="N275" s="173"/>
      <c r="O275" s="176"/>
      <c r="P275" s="168">
        <f aca="true" t="shared" si="57" ref="P275:P280">H275+K275</f>
        <v>828.8</v>
      </c>
      <c r="Q275" s="168">
        <f aca="true" t="shared" si="58" ref="Q275:Q280">I275+M275</f>
        <v>436.82684</v>
      </c>
      <c r="R275" s="176">
        <f aca="true" t="shared" si="59" ref="R275:R280">Q275-P275</f>
        <v>-391.97315999999995</v>
      </c>
      <c r="S275" s="176">
        <f aca="true" t="shared" si="60" ref="S275:S280">Q275/P275*100</f>
        <v>52.705941119691126</v>
      </c>
      <c r="T275" s="130"/>
    </row>
    <row r="276" spans="3:20" s="7" customFormat="1" ht="77.25" customHeight="1">
      <c r="C276" s="32" t="s">
        <v>691</v>
      </c>
      <c r="D276" s="32" t="s">
        <v>578</v>
      </c>
      <c r="E276" s="32" t="s">
        <v>575</v>
      </c>
      <c r="F276" s="115"/>
      <c r="G276" s="33" t="s">
        <v>673</v>
      </c>
      <c r="H276" s="168">
        <v>135.724</v>
      </c>
      <c r="I276" s="197">
        <v>0</v>
      </c>
      <c r="J276" s="176">
        <f t="shared" si="47"/>
        <v>0</v>
      </c>
      <c r="K276" s="168"/>
      <c r="L276" s="168"/>
      <c r="M276" s="173"/>
      <c r="N276" s="173"/>
      <c r="O276" s="176"/>
      <c r="P276" s="168">
        <f t="shared" si="57"/>
        <v>135.724</v>
      </c>
      <c r="Q276" s="168">
        <f t="shared" si="58"/>
        <v>0</v>
      </c>
      <c r="R276" s="176">
        <f t="shared" si="59"/>
        <v>-135.724</v>
      </c>
      <c r="S276" s="176">
        <f t="shared" si="60"/>
        <v>0</v>
      </c>
      <c r="T276" s="130"/>
    </row>
    <row r="277" spans="3:20" s="7" customFormat="1" ht="42" customHeight="1">
      <c r="C277" s="32" t="s">
        <v>633</v>
      </c>
      <c r="D277" s="32" t="s">
        <v>632</v>
      </c>
      <c r="E277" s="32" t="s">
        <v>672</v>
      </c>
      <c r="F277" s="115" t="s">
        <v>634</v>
      </c>
      <c r="G277" s="33" t="s">
        <v>649</v>
      </c>
      <c r="H277" s="168">
        <v>320</v>
      </c>
      <c r="I277" s="197">
        <v>4.063</v>
      </c>
      <c r="J277" s="176">
        <f t="shared" si="47"/>
        <v>1.2696875</v>
      </c>
      <c r="K277" s="168"/>
      <c r="L277" s="168"/>
      <c r="M277" s="173"/>
      <c r="N277" s="173"/>
      <c r="O277" s="176"/>
      <c r="P277" s="168">
        <f t="shared" si="57"/>
        <v>320</v>
      </c>
      <c r="Q277" s="168">
        <f t="shared" si="58"/>
        <v>4.063</v>
      </c>
      <c r="R277" s="176">
        <f t="shared" si="59"/>
        <v>-315.937</v>
      </c>
      <c r="S277" s="176">
        <f t="shared" si="60"/>
        <v>1.2696875</v>
      </c>
      <c r="T277" s="130"/>
    </row>
    <row r="278" spans="3:20" s="7" customFormat="1" ht="62.25" customHeight="1">
      <c r="C278" s="32" t="s">
        <v>605</v>
      </c>
      <c r="D278" s="32" t="s">
        <v>444</v>
      </c>
      <c r="E278" s="32" t="s">
        <v>443</v>
      </c>
      <c r="F278" s="115" t="s">
        <v>249</v>
      </c>
      <c r="G278" s="33" t="s">
        <v>650</v>
      </c>
      <c r="H278" s="168"/>
      <c r="I278" s="168"/>
      <c r="J278" s="176"/>
      <c r="K278" s="168">
        <v>500</v>
      </c>
      <c r="L278" s="168"/>
      <c r="M278" s="173">
        <v>0</v>
      </c>
      <c r="N278" s="173">
        <v>0</v>
      </c>
      <c r="O278" s="176"/>
      <c r="P278" s="168">
        <f t="shared" si="57"/>
        <v>500</v>
      </c>
      <c r="Q278" s="168">
        <f t="shared" si="58"/>
        <v>0</v>
      </c>
      <c r="R278" s="176">
        <f t="shared" si="59"/>
        <v>-500</v>
      </c>
      <c r="S278" s="176">
        <f t="shared" si="60"/>
        <v>0</v>
      </c>
      <c r="T278" s="34">
        <v>500</v>
      </c>
    </row>
    <row r="279" spans="1:21" s="7" customFormat="1" ht="51.75" customHeight="1">
      <c r="A279" s="50">
        <v>5</v>
      </c>
      <c r="B279" s="7">
        <v>44</v>
      </c>
      <c r="C279" s="32" t="s">
        <v>606</v>
      </c>
      <c r="D279" s="32" t="s">
        <v>603</v>
      </c>
      <c r="E279" s="32" t="s">
        <v>604</v>
      </c>
      <c r="F279" s="115" t="s">
        <v>257</v>
      </c>
      <c r="G279" s="33" t="s">
        <v>332</v>
      </c>
      <c r="H279" s="190"/>
      <c r="I279" s="190"/>
      <c r="J279" s="176"/>
      <c r="K279" s="166">
        <f>K280</f>
        <v>180.176</v>
      </c>
      <c r="L279" s="166">
        <f>L280</f>
        <v>0</v>
      </c>
      <c r="M279" s="166">
        <f>M280</f>
        <v>33.8841</v>
      </c>
      <c r="N279" s="166"/>
      <c r="O279" s="167">
        <f>M279/K279*100</f>
        <v>18.8061118017938</v>
      </c>
      <c r="P279" s="168">
        <f t="shared" si="57"/>
        <v>180.176</v>
      </c>
      <c r="Q279" s="168">
        <f t="shared" si="58"/>
        <v>33.8841</v>
      </c>
      <c r="R279" s="176">
        <f t="shared" si="59"/>
        <v>-146.2919</v>
      </c>
      <c r="S279" s="176">
        <f t="shared" si="60"/>
        <v>18.8061118017938</v>
      </c>
      <c r="T279" s="14">
        <f>T280</f>
        <v>0</v>
      </c>
      <c r="U279" s="22"/>
    </row>
    <row r="280" spans="1:21" s="7" customFormat="1" ht="58.5" customHeight="1">
      <c r="A280" s="50"/>
      <c r="C280" s="32"/>
      <c r="D280" s="32"/>
      <c r="E280" s="32"/>
      <c r="F280" s="115"/>
      <c r="G280" s="45" t="s">
        <v>348</v>
      </c>
      <c r="H280" s="190"/>
      <c r="I280" s="190"/>
      <c r="J280" s="176"/>
      <c r="K280" s="166">
        <v>180.176</v>
      </c>
      <c r="L280" s="166"/>
      <c r="M280" s="166">
        <v>33.8841</v>
      </c>
      <c r="N280" s="166"/>
      <c r="O280" s="167">
        <f>M280/K280*100</f>
        <v>18.8061118017938</v>
      </c>
      <c r="P280" s="168">
        <f t="shared" si="57"/>
        <v>180.176</v>
      </c>
      <c r="Q280" s="168">
        <f t="shared" si="58"/>
        <v>33.8841</v>
      </c>
      <c r="R280" s="176">
        <f t="shared" si="59"/>
        <v>-146.2919</v>
      </c>
      <c r="S280" s="176">
        <f t="shared" si="60"/>
        <v>18.8061118017938</v>
      </c>
      <c r="T280" s="129"/>
      <c r="U280" s="22"/>
    </row>
    <row r="281" spans="3:22" s="73" customFormat="1" ht="36.75" customHeight="1">
      <c r="C281" s="30"/>
      <c r="D281" s="30"/>
      <c r="E281" s="30"/>
      <c r="F281" s="121"/>
      <c r="G281" s="74" t="s">
        <v>142</v>
      </c>
      <c r="H281" s="174">
        <f aca="true" t="shared" si="61" ref="H281:T281">H275+H278+H279+H277+H276</f>
        <v>1284.524</v>
      </c>
      <c r="I281" s="174">
        <f t="shared" si="61"/>
        <v>440.88984</v>
      </c>
      <c r="J281" s="176">
        <f t="shared" si="47"/>
        <v>34.32320766291638</v>
      </c>
      <c r="K281" s="174">
        <f t="shared" si="61"/>
        <v>680.1759999999999</v>
      </c>
      <c r="L281" s="174">
        <f t="shared" si="61"/>
        <v>0</v>
      </c>
      <c r="M281" s="174">
        <f t="shared" si="61"/>
        <v>33.8841</v>
      </c>
      <c r="N281" s="174">
        <f t="shared" si="61"/>
        <v>0</v>
      </c>
      <c r="O281" s="167">
        <f>M281/K281*100</f>
        <v>4.981666509844511</v>
      </c>
      <c r="P281" s="174">
        <f t="shared" si="61"/>
        <v>1964.6999999999998</v>
      </c>
      <c r="Q281" s="174">
        <f t="shared" si="61"/>
        <v>474.77394</v>
      </c>
      <c r="R281" s="175">
        <f t="shared" si="61"/>
        <v>-1489.92606</v>
      </c>
      <c r="S281" s="175">
        <f t="shared" si="61"/>
        <v>72.78174042148493</v>
      </c>
      <c r="T281" s="63">
        <f t="shared" si="61"/>
        <v>500</v>
      </c>
      <c r="U281" s="75"/>
      <c r="V281" s="75"/>
    </row>
    <row r="282" spans="3:21" s="50" customFormat="1" ht="83.25" customHeight="1">
      <c r="C282" s="30" t="s">
        <v>177</v>
      </c>
      <c r="D282" s="30"/>
      <c r="E282" s="30"/>
      <c r="F282" s="121"/>
      <c r="G282" s="86" t="s">
        <v>644</v>
      </c>
      <c r="H282" s="174"/>
      <c r="I282" s="174"/>
      <c r="J282" s="176"/>
      <c r="K282" s="174"/>
      <c r="L282" s="174"/>
      <c r="M282" s="174"/>
      <c r="N282" s="174"/>
      <c r="O282" s="175"/>
      <c r="P282" s="174"/>
      <c r="Q282" s="174"/>
      <c r="R282" s="175"/>
      <c r="S282" s="175"/>
      <c r="T282" s="136"/>
      <c r="U282" s="53"/>
    </row>
    <row r="283" spans="3:21" s="7" customFormat="1" ht="76.5" customHeight="1">
      <c r="C283" s="151" t="s">
        <v>178</v>
      </c>
      <c r="D283" s="32"/>
      <c r="E283" s="32"/>
      <c r="F283" s="121"/>
      <c r="G283" s="48" t="s">
        <v>645</v>
      </c>
      <c r="H283" s="166"/>
      <c r="I283" s="166"/>
      <c r="J283" s="176"/>
      <c r="K283" s="166"/>
      <c r="L283" s="166"/>
      <c r="M283" s="166"/>
      <c r="N283" s="166"/>
      <c r="O283" s="167"/>
      <c r="P283" s="166"/>
      <c r="Q283" s="166"/>
      <c r="R283" s="167"/>
      <c r="S283" s="167"/>
      <c r="T283" s="129"/>
      <c r="U283" s="22"/>
    </row>
    <row r="284" spans="1:20" s="7" customFormat="1" ht="153" customHeight="1">
      <c r="A284" s="7">
        <v>8</v>
      </c>
      <c r="B284" s="7">
        <v>57</v>
      </c>
      <c r="C284" s="32" t="s">
        <v>316</v>
      </c>
      <c r="D284" s="32" t="s">
        <v>437</v>
      </c>
      <c r="E284" s="32" t="s">
        <v>438</v>
      </c>
      <c r="F284" s="115" t="s">
        <v>205</v>
      </c>
      <c r="G284" s="33" t="s">
        <v>646</v>
      </c>
      <c r="H284" s="168">
        <v>1333</v>
      </c>
      <c r="I284" s="168">
        <v>708.50348</v>
      </c>
      <c r="J284" s="176">
        <f t="shared" si="47"/>
        <v>53.15104876219054</v>
      </c>
      <c r="K284" s="168"/>
      <c r="L284" s="168"/>
      <c r="M284" s="173"/>
      <c r="N284" s="173"/>
      <c r="O284" s="176"/>
      <c r="P284" s="168">
        <f aca="true" t="shared" si="62" ref="P284:P294">H284+K284</f>
        <v>1333</v>
      </c>
      <c r="Q284" s="168">
        <f aca="true" t="shared" si="63" ref="Q284:Q294">I284+M284</f>
        <v>708.50348</v>
      </c>
      <c r="R284" s="176">
        <f aca="true" t="shared" si="64" ref="R284:R294">Q284-P284</f>
        <v>-624.49652</v>
      </c>
      <c r="S284" s="176">
        <f>Q284/P284*100</f>
        <v>53.15104876219054</v>
      </c>
      <c r="T284" s="130"/>
    </row>
    <row r="285" spans="3:20" s="7" customFormat="1" ht="39.75" customHeight="1">
      <c r="C285" s="32" t="s">
        <v>151</v>
      </c>
      <c r="D285" s="32" t="s">
        <v>453</v>
      </c>
      <c r="E285" s="32" t="s">
        <v>475</v>
      </c>
      <c r="F285" s="33" t="s">
        <v>92</v>
      </c>
      <c r="G285" s="33" t="s">
        <v>694</v>
      </c>
      <c r="H285" s="166"/>
      <c r="I285" s="168">
        <f>I286</f>
        <v>0</v>
      </c>
      <c r="J285" s="176"/>
      <c r="K285" s="168">
        <f>K286</f>
        <v>203.624</v>
      </c>
      <c r="L285" s="168">
        <f>L286</f>
        <v>0</v>
      </c>
      <c r="M285" s="166">
        <f>M286</f>
        <v>0</v>
      </c>
      <c r="N285" s="166">
        <f>N286</f>
        <v>0</v>
      </c>
      <c r="O285" s="176">
        <f>O286</f>
        <v>0</v>
      </c>
      <c r="P285" s="168">
        <f t="shared" si="62"/>
        <v>203.624</v>
      </c>
      <c r="Q285" s="168">
        <f t="shared" si="63"/>
        <v>0</v>
      </c>
      <c r="R285" s="176">
        <f t="shared" si="64"/>
        <v>-203.624</v>
      </c>
      <c r="S285" s="176">
        <f>Q285/P285*100</f>
        <v>0</v>
      </c>
      <c r="T285" s="34">
        <f>T286</f>
        <v>203.624</v>
      </c>
    </row>
    <row r="286" spans="3:20" s="7" customFormat="1" ht="78" customHeight="1">
      <c r="C286" s="32" t="s">
        <v>152</v>
      </c>
      <c r="D286" s="32" t="s">
        <v>454</v>
      </c>
      <c r="E286" s="32" t="s">
        <v>475</v>
      </c>
      <c r="F286" s="55" t="s">
        <v>693</v>
      </c>
      <c r="G286" s="55" t="s">
        <v>674</v>
      </c>
      <c r="H286" s="166"/>
      <c r="I286" s="168"/>
      <c r="J286" s="176"/>
      <c r="K286" s="168">
        <v>203.624</v>
      </c>
      <c r="L286" s="168"/>
      <c r="M286" s="166">
        <v>0</v>
      </c>
      <c r="N286" s="166">
        <v>0</v>
      </c>
      <c r="O286" s="176">
        <f>M286/K286*100</f>
        <v>0</v>
      </c>
      <c r="P286" s="168">
        <f t="shared" si="62"/>
        <v>203.624</v>
      </c>
      <c r="Q286" s="168">
        <f t="shared" si="63"/>
        <v>0</v>
      </c>
      <c r="R286" s="176">
        <f t="shared" si="64"/>
        <v>-203.624</v>
      </c>
      <c r="S286" s="176">
        <f>Q286/P286*100</f>
        <v>0</v>
      </c>
      <c r="T286" s="34">
        <v>203.624</v>
      </c>
    </row>
    <row r="287" spans="2:20" s="7" customFormat="1" ht="30" customHeight="1">
      <c r="B287" s="87">
        <v>58</v>
      </c>
      <c r="C287" s="32" t="s">
        <v>179</v>
      </c>
      <c r="D287" s="32" t="s">
        <v>607</v>
      </c>
      <c r="E287" s="32" t="s">
        <v>608</v>
      </c>
      <c r="F287" s="115" t="s">
        <v>48</v>
      </c>
      <c r="G287" s="41" t="s">
        <v>93</v>
      </c>
      <c r="H287" s="166">
        <f>H288</f>
        <v>60</v>
      </c>
      <c r="I287" s="166">
        <f>I288</f>
        <v>9</v>
      </c>
      <c r="J287" s="176">
        <f t="shared" si="47"/>
        <v>15</v>
      </c>
      <c r="K287" s="166"/>
      <c r="L287" s="166"/>
      <c r="M287" s="166"/>
      <c r="N287" s="166"/>
      <c r="O287" s="176"/>
      <c r="P287" s="166">
        <f t="shared" si="62"/>
        <v>60</v>
      </c>
      <c r="Q287" s="166">
        <f t="shared" si="63"/>
        <v>9</v>
      </c>
      <c r="R287" s="167">
        <f t="shared" si="64"/>
        <v>-51</v>
      </c>
      <c r="S287" s="167">
        <f>Q287/P287*100</f>
        <v>15</v>
      </c>
      <c r="T287" s="129">
        <f>T288</f>
        <v>0</v>
      </c>
    </row>
    <row r="288" spans="3:20" s="39" customFormat="1" ht="87" customHeight="1">
      <c r="C288" s="35" t="s">
        <v>216</v>
      </c>
      <c r="D288" s="35" t="s">
        <v>609</v>
      </c>
      <c r="E288" s="35" t="s">
        <v>608</v>
      </c>
      <c r="F288" s="119" t="s">
        <v>48</v>
      </c>
      <c r="G288" s="55" t="s">
        <v>674</v>
      </c>
      <c r="H288" s="166">
        <v>60</v>
      </c>
      <c r="I288" s="170">
        <v>9</v>
      </c>
      <c r="J288" s="176">
        <f t="shared" si="47"/>
        <v>15</v>
      </c>
      <c r="K288" s="170"/>
      <c r="L288" s="170"/>
      <c r="M288" s="181"/>
      <c r="N288" s="181"/>
      <c r="O288" s="176"/>
      <c r="P288" s="166">
        <f t="shared" si="62"/>
        <v>60</v>
      </c>
      <c r="Q288" s="166">
        <f t="shared" si="63"/>
        <v>9</v>
      </c>
      <c r="R288" s="167">
        <f t="shared" si="64"/>
        <v>-51</v>
      </c>
      <c r="S288" s="167">
        <f>Q288/P288*100</f>
        <v>15</v>
      </c>
      <c r="T288" s="56"/>
    </row>
    <row r="289" spans="2:20" s="7" customFormat="1" ht="45" customHeight="1" hidden="1">
      <c r="B289" s="7">
        <v>62</v>
      </c>
      <c r="C289" s="32" t="s">
        <v>132</v>
      </c>
      <c r="D289" s="32"/>
      <c r="E289" s="32"/>
      <c r="F289" s="115" t="s">
        <v>265</v>
      </c>
      <c r="G289" s="41" t="s">
        <v>115</v>
      </c>
      <c r="H289" s="166"/>
      <c r="I289" s="166"/>
      <c r="J289" s="176" t="e">
        <f t="shared" si="47"/>
        <v>#DIV/0!</v>
      </c>
      <c r="K289" s="166"/>
      <c r="L289" s="166"/>
      <c r="M289" s="166"/>
      <c r="N289" s="166"/>
      <c r="O289" s="176" t="e">
        <f>M289/K289*100</f>
        <v>#DIV/0!</v>
      </c>
      <c r="P289" s="166">
        <f t="shared" si="62"/>
        <v>0</v>
      </c>
      <c r="Q289" s="166">
        <f t="shared" si="63"/>
        <v>0</v>
      </c>
      <c r="R289" s="167">
        <f t="shared" si="64"/>
        <v>0</v>
      </c>
      <c r="S289" s="167" t="e">
        <f aca="true" t="shared" si="65" ref="S289:S294">Q289/P289*100</f>
        <v>#DIV/0!</v>
      </c>
      <c r="T289" s="129"/>
    </row>
    <row r="290" spans="1:20" s="7" customFormat="1" ht="96" customHeight="1">
      <c r="A290" s="50">
        <v>2</v>
      </c>
      <c r="B290" s="7">
        <v>60</v>
      </c>
      <c r="C290" s="32" t="s">
        <v>133</v>
      </c>
      <c r="D290" s="32" t="s">
        <v>612</v>
      </c>
      <c r="E290" s="32" t="s">
        <v>611</v>
      </c>
      <c r="F290" s="115" t="s">
        <v>253</v>
      </c>
      <c r="G290" s="33" t="s">
        <v>114</v>
      </c>
      <c r="H290" s="166">
        <v>208.3</v>
      </c>
      <c r="I290" s="166">
        <v>190.44125</v>
      </c>
      <c r="J290" s="176">
        <f t="shared" si="47"/>
        <v>91.42642822851656</v>
      </c>
      <c r="K290" s="166">
        <v>100</v>
      </c>
      <c r="L290" s="166"/>
      <c r="M290" s="173">
        <v>94.366</v>
      </c>
      <c r="N290" s="173">
        <v>94.366</v>
      </c>
      <c r="O290" s="176">
        <f>M290/K290*100</f>
        <v>94.366</v>
      </c>
      <c r="P290" s="166">
        <f t="shared" si="62"/>
        <v>308.3</v>
      </c>
      <c r="Q290" s="166">
        <f t="shared" si="63"/>
        <v>284.80725</v>
      </c>
      <c r="R290" s="167">
        <f t="shared" si="64"/>
        <v>-23.49275</v>
      </c>
      <c r="S290" s="167">
        <f t="shared" si="65"/>
        <v>92.37990593577685</v>
      </c>
      <c r="T290" s="14">
        <v>100</v>
      </c>
    </row>
    <row r="291" spans="1:20" s="7" customFormat="1" ht="66.75" customHeight="1" hidden="1">
      <c r="A291" s="50"/>
      <c r="C291" s="5" t="s">
        <v>295</v>
      </c>
      <c r="D291" s="5" t="s">
        <v>613</v>
      </c>
      <c r="E291" s="5" t="s">
        <v>614</v>
      </c>
      <c r="F291" s="115" t="s">
        <v>289</v>
      </c>
      <c r="G291" s="90" t="s">
        <v>298</v>
      </c>
      <c r="H291" s="166">
        <f>I291+L291</f>
        <v>0</v>
      </c>
      <c r="I291" s="166">
        <f>SUM(I292:I293)</f>
        <v>0</v>
      </c>
      <c r="J291" s="176" t="e">
        <f t="shared" si="47"/>
        <v>#DIV/0!</v>
      </c>
      <c r="K291" s="166"/>
      <c r="L291" s="166"/>
      <c r="M291" s="173"/>
      <c r="N291" s="173"/>
      <c r="O291" s="167"/>
      <c r="P291" s="166">
        <f t="shared" si="62"/>
        <v>0</v>
      </c>
      <c r="Q291" s="166">
        <f t="shared" si="63"/>
        <v>0</v>
      </c>
      <c r="R291" s="167">
        <f t="shared" si="64"/>
        <v>0</v>
      </c>
      <c r="S291" s="167" t="e">
        <f t="shared" si="65"/>
        <v>#DIV/0!</v>
      </c>
      <c r="T291" s="129"/>
    </row>
    <row r="292" spans="1:20" s="39" customFormat="1" ht="32.25" customHeight="1" hidden="1">
      <c r="A292" s="94"/>
      <c r="C292" s="36"/>
      <c r="D292" s="36"/>
      <c r="E292" s="36"/>
      <c r="F292" s="119"/>
      <c r="G292" s="95" t="s">
        <v>297</v>
      </c>
      <c r="H292" s="170">
        <f>I292+L292</f>
        <v>0</v>
      </c>
      <c r="I292" s="170"/>
      <c r="J292" s="176" t="e">
        <f t="shared" si="47"/>
        <v>#DIV/0!</v>
      </c>
      <c r="K292" s="170"/>
      <c r="L292" s="170"/>
      <c r="M292" s="181"/>
      <c r="N292" s="181"/>
      <c r="O292" s="171"/>
      <c r="P292" s="166">
        <f t="shared" si="62"/>
        <v>0</v>
      </c>
      <c r="Q292" s="166">
        <f t="shared" si="63"/>
        <v>0</v>
      </c>
      <c r="R292" s="167">
        <f t="shared" si="64"/>
        <v>0</v>
      </c>
      <c r="S292" s="167" t="e">
        <f t="shared" si="65"/>
        <v>#DIV/0!</v>
      </c>
      <c r="T292" s="133"/>
    </row>
    <row r="293" spans="1:20" s="39" customFormat="1" ht="76.5" customHeight="1" hidden="1">
      <c r="A293" s="94"/>
      <c r="C293" s="36"/>
      <c r="D293" s="36"/>
      <c r="E293" s="36"/>
      <c r="F293" s="119"/>
      <c r="G293" s="95" t="s">
        <v>301</v>
      </c>
      <c r="H293" s="170">
        <f>I293+L293</f>
        <v>0</v>
      </c>
      <c r="I293" s="170"/>
      <c r="J293" s="176" t="e">
        <f t="shared" si="47"/>
        <v>#DIV/0!</v>
      </c>
      <c r="K293" s="170"/>
      <c r="L293" s="170"/>
      <c r="M293" s="181"/>
      <c r="N293" s="181"/>
      <c r="O293" s="171"/>
      <c r="P293" s="166">
        <f t="shared" si="62"/>
        <v>0</v>
      </c>
      <c r="Q293" s="166">
        <f t="shared" si="63"/>
        <v>0</v>
      </c>
      <c r="R293" s="167">
        <f t="shared" si="64"/>
        <v>0</v>
      </c>
      <c r="S293" s="167" t="e">
        <f t="shared" si="65"/>
        <v>#DIV/0!</v>
      </c>
      <c r="T293" s="133"/>
    </row>
    <row r="294" spans="1:20" s="7" customFormat="1" ht="39" customHeight="1">
      <c r="A294" s="50">
        <v>3</v>
      </c>
      <c r="B294" s="7">
        <v>59</v>
      </c>
      <c r="C294" s="32" t="s">
        <v>279</v>
      </c>
      <c r="D294" s="32" t="s">
        <v>610</v>
      </c>
      <c r="E294" s="32" t="s">
        <v>611</v>
      </c>
      <c r="F294" s="115" t="s">
        <v>223</v>
      </c>
      <c r="G294" s="33" t="s">
        <v>323</v>
      </c>
      <c r="H294" s="166">
        <v>448</v>
      </c>
      <c r="I294" s="166">
        <v>236.30577</v>
      </c>
      <c r="J294" s="176">
        <f t="shared" si="47"/>
        <v>52.746823660714284</v>
      </c>
      <c r="K294" s="166"/>
      <c r="L294" s="166"/>
      <c r="M294" s="173"/>
      <c r="N294" s="173"/>
      <c r="O294" s="167"/>
      <c r="P294" s="166">
        <f t="shared" si="62"/>
        <v>448</v>
      </c>
      <c r="Q294" s="166">
        <f t="shared" si="63"/>
        <v>236.30577</v>
      </c>
      <c r="R294" s="167">
        <f t="shared" si="64"/>
        <v>-211.69423</v>
      </c>
      <c r="S294" s="167">
        <f t="shared" si="65"/>
        <v>52.746823660714284</v>
      </c>
      <c r="T294" s="129"/>
    </row>
    <row r="295" spans="3:20" s="7" customFormat="1" ht="44.25" customHeight="1" hidden="1">
      <c r="C295" s="32" t="s">
        <v>615</v>
      </c>
      <c r="D295" s="32" t="s">
        <v>474</v>
      </c>
      <c r="E295" s="32" t="s">
        <v>475</v>
      </c>
      <c r="F295" s="115" t="s">
        <v>3</v>
      </c>
      <c r="G295" s="42" t="s">
        <v>400</v>
      </c>
      <c r="H295" s="166"/>
      <c r="I295" s="166">
        <f>SUM(I296:I297)</f>
        <v>0</v>
      </c>
      <c r="J295" s="176" t="e">
        <f t="shared" si="47"/>
        <v>#DIV/0!</v>
      </c>
      <c r="K295" s="166">
        <f aca="true" t="shared" si="66" ref="K295:T295">SUM(K296:K297)</f>
        <v>0</v>
      </c>
      <c r="L295" s="166">
        <f t="shared" si="66"/>
        <v>0</v>
      </c>
      <c r="M295" s="166">
        <f t="shared" si="66"/>
        <v>0</v>
      </c>
      <c r="N295" s="166"/>
      <c r="O295" s="167">
        <f t="shared" si="66"/>
        <v>0</v>
      </c>
      <c r="P295" s="166">
        <f t="shared" si="66"/>
        <v>0</v>
      </c>
      <c r="Q295" s="166">
        <f t="shared" si="66"/>
        <v>0</v>
      </c>
      <c r="R295" s="167">
        <f t="shared" si="66"/>
        <v>0</v>
      </c>
      <c r="S295" s="167">
        <f t="shared" si="66"/>
        <v>0</v>
      </c>
      <c r="T295" s="129">
        <f t="shared" si="66"/>
        <v>0</v>
      </c>
    </row>
    <row r="296" spans="3:20" s="39" customFormat="1" ht="39" customHeight="1" hidden="1">
      <c r="C296" s="35"/>
      <c r="D296" s="35"/>
      <c r="E296" s="35"/>
      <c r="F296" s="119"/>
      <c r="G296" s="52" t="s">
        <v>38</v>
      </c>
      <c r="H296" s="170"/>
      <c r="I296" s="170"/>
      <c r="J296" s="176" t="e">
        <f t="shared" si="47"/>
        <v>#DIV/0!</v>
      </c>
      <c r="K296" s="170"/>
      <c r="L296" s="170"/>
      <c r="M296" s="181"/>
      <c r="N296" s="181"/>
      <c r="O296" s="171"/>
      <c r="P296" s="170"/>
      <c r="Q296" s="170"/>
      <c r="R296" s="171"/>
      <c r="S296" s="171"/>
      <c r="T296" s="133"/>
    </row>
    <row r="297" spans="3:20" s="39" customFormat="1" ht="86.25" customHeight="1" hidden="1">
      <c r="C297" s="35"/>
      <c r="D297" s="35"/>
      <c r="E297" s="35"/>
      <c r="F297" s="119"/>
      <c r="G297" s="52" t="s">
        <v>401</v>
      </c>
      <c r="H297" s="170"/>
      <c r="I297" s="170"/>
      <c r="J297" s="176" t="e">
        <f t="shared" si="47"/>
        <v>#DIV/0!</v>
      </c>
      <c r="K297" s="170"/>
      <c r="L297" s="170"/>
      <c r="M297" s="181"/>
      <c r="N297" s="181"/>
      <c r="O297" s="198"/>
      <c r="P297" s="177"/>
      <c r="Q297" s="177"/>
      <c r="R297" s="198"/>
      <c r="S297" s="198"/>
      <c r="T297" s="137"/>
    </row>
    <row r="298" spans="1:20" s="7" customFormat="1" ht="29.25" customHeight="1" hidden="1">
      <c r="A298" s="50">
        <v>1</v>
      </c>
      <c r="B298" s="7">
        <v>61</v>
      </c>
      <c r="C298" s="32" t="s">
        <v>151</v>
      </c>
      <c r="D298" s="32"/>
      <c r="E298" s="32"/>
      <c r="F298" s="115" t="s">
        <v>206</v>
      </c>
      <c r="G298" s="43" t="s">
        <v>92</v>
      </c>
      <c r="H298" s="166">
        <f>H299+H300</f>
        <v>0</v>
      </c>
      <c r="I298" s="166">
        <f>I299+I300</f>
        <v>0</v>
      </c>
      <c r="J298" s="176" t="e">
        <f aca="true" t="shared" si="67" ref="J298:J324">I298/H298*100</f>
        <v>#DIV/0!</v>
      </c>
      <c r="K298" s="166">
        <f aca="true" t="shared" si="68" ref="K298:T298">K299+K300</f>
        <v>0</v>
      </c>
      <c r="L298" s="166"/>
      <c r="M298" s="166">
        <f t="shared" si="68"/>
        <v>0</v>
      </c>
      <c r="N298" s="166"/>
      <c r="O298" s="167">
        <f t="shared" si="68"/>
        <v>0</v>
      </c>
      <c r="P298" s="166">
        <f t="shared" si="68"/>
        <v>0</v>
      </c>
      <c r="Q298" s="166">
        <f t="shared" si="68"/>
        <v>0</v>
      </c>
      <c r="R298" s="167">
        <f t="shared" si="68"/>
        <v>0</v>
      </c>
      <c r="S298" s="167">
        <f t="shared" si="68"/>
        <v>0</v>
      </c>
      <c r="T298" s="129">
        <f t="shared" si="68"/>
        <v>0</v>
      </c>
    </row>
    <row r="299" spans="3:20" s="39" customFormat="1" ht="16.5" customHeight="1" hidden="1">
      <c r="C299" s="32" t="s">
        <v>152</v>
      </c>
      <c r="D299" s="32"/>
      <c r="E299" s="32"/>
      <c r="F299" s="119"/>
      <c r="G299" s="37" t="s">
        <v>37</v>
      </c>
      <c r="H299" s="170">
        <f>40-35-5</f>
        <v>0</v>
      </c>
      <c r="I299" s="170"/>
      <c r="J299" s="176" t="e">
        <f t="shared" si="67"/>
        <v>#DIV/0!</v>
      </c>
      <c r="K299" s="170"/>
      <c r="L299" s="170"/>
      <c r="M299" s="181"/>
      <c r="N299" s="181"/>
      <c r="O299" s="171"/>
      <c r="P299" s="170"/>
      <c r="Q299" s="170"/>
      <c r="R299" s="171"/>
      <c r="S299" s="171"/>
      <c r="T299" s="133"/>
    </row>
    <row r="300" spans="3:20" s="39" customFormat="1" ht="39" customHeight="1" hidden="1">
      <c r="C300" s="35" t="s">
        <v>152</v>
      </c>
      <c r="D300" s="35"/>
      <c r="E300" s="35"/>
      <c r="F300" s="119"/>
      <c r="G300" s="37" t="s">
        <v>38</v>
      </c>
      <c r="H300" s="170"/>
      <c r="I300" s="170"/>
      <c r="J300" s="176" t="e">
        <f t="shared" si="67"/>
        <v>#DIV/0!</v>
      </c>
      <c r="K300" s="170"/>
      <c r="L300" s="170"/>
      <c r="M300" s="181"/>
      <c r="N300" s="181"/>
      <c r="O300" s="171"/>
      <c r="P300" s="170"/>
      <c r="Q300" s="170"/>
      <c r="R300" s="171"/>
      <c r="S300" s="171"/>
      <c r="T300" s="133"/>
    </row>
    <row r="301" spans="1:20" s="7" customFormat="1" ht="90.75" customHeight="1" hidden="1">
      <c r="A301" s="7">
        <v>4</v>
      </c>
      <c r="B301" s="7">
        <v>65</v>
      </c>
      <c r="C301" s="32" t="s">
        <v>372</v>
      </c>
      <c r="D301" s="32"/>
      <c r="E301" s="32"/>
      <c r="F301" s="115" t="s">
        <v>286</v>
      </c>
      <c r="G301" s="41" t="s">
        <v>371</v>
      </c>
      <c r="H301" s="166">
        <f>SUM(H302:H304)</f>
        <v>0</v>
      </c>
      <c r="I301" s="166">
        <f>SUM(I302:I304)</f>
        <v>0</v>
      </c>
      <c r="J301" s="176" t="e">
        <f t="shared" si="67"/>
        <v>#DIV/0!</v>
      </c>
      <c r="K301" s="166">
        <f aca="true" t="shared" si="69" ref="K301:T301">SUM(K302:K304)</f>
        <v>0</v>
      </c>
      <c r="L301" s="166"/>
      <c r="M301" s="166">
        <f t="shared" si="69"/>
        <v>0</v>
      </c>
      <c r="N301" s="166"/>
      <c r="O301" s="167">
        <f t="shared" si="69"/>
        <v>0</v>
      </c>
      <c r="P301" s="166">
        <f t="shared" si="69"/>
        <v>0</v>
      </c>
      <c r="Q301" s="166">
        <f t="shared" si="69"/>
        <v>0</v>
      </c>
      <c r="R301" s="167">
        <f t="shared" si="69"/>
        <v>0</v>
      </c>
      <c r="S301" s="167">
        <f t="shared" si="69"/>
        <v>0</v>
      </c>
      <c r="T301" s="129">
        <f t="shared" si="69"/>
        <v>0</v>
      </c>
    </row>
    <row r="302" spans="2:20" s="19" customFormat="1" ht="60" customHeight="1" hidden="1">
      <c r="B302" s="39"/>
      <c r="C302" s="35"/>
      <c r="D302" s="35"/>
      <c r="E302" s="35"/>
      <c r="F302" s="119"/>
      <c r="G302" s="55" t="s">
        <v>370</v>
      </c>
      <c r="H302" s="166"/>
      <c r="I302" s="166"/>
      <c r="J302" s="176" t="e">
        <f t="shared" si="67"/>
        <v>#DIV/0!</v>
      </c>
      <c r="K302" s="170"/>
      <c r="L302" s="170"/>
      <c r="M302" s="181"/>
      <c r="N302" s="181"/>
      <c r="O302" s="171"/>
      <c r="P302" s="170"/>
      <c r="Q302" s="170"/>
      <c r="R302" s="171"/>
      <c r="S302" s="171"/>
      <c r="T302" s="133"/>
    </row>
    <row r="303" spans="2:20" s="19" customFormat="1" ht="78" customHeight="1" hidden="1">
      <c r="B303" s="39"/>
      <c r="C303" s="35"/>
      <c r="D303" s="35"/>
      <c r="E303" s="35"/>
      <c r="F303" s="119"/>
      <c r="G303" s="55" t="s">
        <v>396</v>
      </c>
      <c r="H303" s="166"/>
      <c r="I303" s="166"/>
      <c r="J303" s="176" t="e">
        <f t="shared" si="67"/>
        <v>#DIV/0!</v>
      </c>
      <c r="K303" s="170"/>
      <c r="L303" s="170"/>
      <c r="M303" s="181"/>
      <c r="N303" s="181"/>
      <c r="O303" s="171"/>
      <c r="P303" s="170"/>
      <c r="Q303" s="170"/>
      <c r="R303" s="171"/>
      <c r="S303" s="171"/>
      <c r="T303" s="133"/>
    </row>
    <row r="304" spans="3:20" s="19" customFormat="1" ht="72.75" customHeight="1" hidden="1">
      <c r="C304" s="35"/>
      <c r="D304" s="35"/>
      <c r="E304" s="35"/>
      <c r="F304" s="119" t="s">
        <v>189</v>
      </c>
      <c r="G304" s="55" t="s">
        <v>42</v>
      </c>
      <c r="H304" s="170"/>
      <c r="I304" s="170"/>
      <c r="J304" s="176" t="e">
        <f t="shared" si="67"/>
        <v>#DIV/0!</v>
      </c>
      <c r="K304" s="170"/>
      <c r="L304" s="170"/>
      <c r="M304" s="181"/>
      <c r="N304" s="181"/>
      <c r="O304" s="171"/>
      <c r="P304" s="170"/>
      <c r="Q304" s="170"/>
      <c r="R304" s="171"/>
      <c r="S304" s="171"/>
      <c r="T304" s="133"/>
    </row>
    <row r="305" spans="3:22" s="73" customFormat="1" ht="27.75" customHeight="1">
      <c r="C305" s="30"/>
      <c r="D305" s="30"/>
      <c r="E305" s="30"/>
      <c r="F305" s="121"/>
      <c r="G305" s="74" t="s">
        <v>142</v>
      </c>
      <c r="H305" s="174">
        <f>H284+H287+H294+H290+H291+H298+H301+H295+H285</f>
        <v>2049.3</v>
      </c>
      <c r="I305" s="174">
        <f aca="true" t="shared" si="70" ref="I305:T305">I284+I287+I294+I290+I291+I298+I301+I295+I285</f>
        <v>1144.2505</v>
      </c>
      <c r="J305" s="176">
        <f t="shared" si="67"/>
        <v>55.836163568047624</v>
      </c>
      <c r="K305" s="174">
        <f t="shared" si="70"/>
        <v>303.624</v>
      </c>
      <c r="L305" s="174">
        <f t="shared" si="70"/>
        <v>0</v>
      </c>
      <c r="M305" s="174">
        <f t="shared" si="70"/>
        <v>94.366</v>
      </c>
      <c r="N305" s="174">
        <f t="shared" si="70"/>
        <v>94.366</v>
      </c>
      <c r="O305" s="175">
        <f t="shared" si="70"/>
        <v>94.366</v>
      </c>
      <c r="P305" s="174">
        <f t="shared" si="70"/>
        <v>2352.924</v>
      </c>
      <c r="Q305" s="174">
        <f t="shared" si="70"/>
        <v>1238.6165</v>
      </c>
      <c r="R305" s="175">
        <f t="shared" si="70"/>
        <v>-1114.3075</v>
      </c>
      <c r="S305" s="175">
        <f>Q305/P305*100</f>
        <v>52.6415855335744</v>
      </c>
      <c r="T305" s="63">
        <f t="shared" si="70"/>
        <v>303.624</v>
      </c>
      <c r="U305" s="75"/>
      <c r="V305" s="75"/>
    </row>
    <row r="306" spans="3:21" s="50" customFormat="1" ht="48.75" customHeight="1">
      <c r="C306" s="30" t="s">
        <v>171</v>
      </c>
      <c r="D306" s="30"/>
      <c r="E306" s="30"/>
      <c r="F306" s="121"/>
      <c r="G306" s="86" t="s">
        <v>419</v>
      </c>
      <c r="H306" s="174"/>
      <c r="I306" s="174"/>
      <c r="J306" s="176"/>
      <c r="K306" s="174"/>
      <c r="L306" s="174"/>
      <c r="M306" s="174"/>
      <c r="N306" s="174"/>
      <c r="O306" s="175"/>
      <c r="P306" s="174"/>
      <c r="Q306" s="174"/>
      <c r="R306" s="175"/>
      <c r="S306" s="175"/>
      <c r="T306" s="136"/>
      <c r="U306" s="53"/>
    </row>
    <row r="307" spans="3:21" s="7" customFormat="1" ht="45.75" customHeight="1">
      <c r="C307" s="151" t="s">
        <v>172</v>
      </c>
      <c r="D307" s="32"/>
      <c r="E307" s="32"/>
      <c r="F307" s="115"/>
      <c r="G307" s="43" t="s">
        <v>420</v>
      </c>
      <c r="H307" s="166"/>
      <c r="I307" s="166"/>
      <c r="J307" s="176"/>
      <c r="K307" s="166"/>
      <c r="L307" s="166"/>
      <c r="M307" s="166"/>
      <c r="N307" s="166"/>
      <c r="O307" s="167"/>
      <c r="P307" s="166"/>
      <c r="Q307" s="166"/>
      <c r="R307" s="167"/>
      <c r="S307" s="167"/>
      <c r="T307" s="129"/>
      <c r="U307" s="22"/>
    </row>
    <row r="308" spans="1:20" s="7" customFormat="1" ht="87.75" customHeight="1">
      <c r="A308" s="7">
        <v>6</v>
      </c>
      <c r="B308" s="7">
        <v>45</v>
      </c>
      <c r="C308" s="32" t="s">
        <v>312</v>
      </c>
      <c r="D308" s="32" t="s">
        <v>437</v>
      </c>
      <c r="E308" s="32" t="s">
        <v>438</v>
      </c>
      <c r="F308" s="115" t="s">
        <v>205</v>
      </c>
      <c r="G308" s="33" t="s">
        <v>624</v>
      </c>
      <c r="H308" s="166">
        <f>2172.6+45</f>
        <v>2217.6</v>
      </c>
      <c r="I308" s="166">
        <v>1139.3575</v>
      </c>
      <c r="J308" s="176">
        <f t="shared" si="67"/>
        <v>51.37795364357864</v>
      </c>
      <c r="K308" s="166"/>
      <c r="L308" s="168"/>
      <c r="M308" s="166"/>
      <c r="N308" s="166"/>
      <c r="O308" s="176"/>
      <c r="P308" s="168">
        <f>H308+K308</f>
        <v>2217.6</v>
      </c>
      <c r="Q308" s="168">
        <f>I308+N308</f>
        <v>1139.3575</v>
      </c>
      <c r="R308" s="176">
        <f>Q308-P308</f>
        <v>-1078.2424999999998</v>
      </c>
      <c r="S308" s="176">
        <f>Q308/P308*100</f>
        <v>51.37795364357864</v>
      </c>
      <c r="T308" s="130"/>
    </row>
    <row r="309" spans="3:20" s="7" customFormat="1" ht="265.5" customHeight="1" hidden="1">
      <c r="C309" s="32" t="s">
        <v>33</v>
      </c>
      <c r="D309" s="32"/>
      <c r="E309" s="32"/>
      <c r="F309" s="115" t="s">
        <v>32</v>
      </c>
      <c r="G309" s="33" t="s">
        <v>296</v>
      </c>
      <c r="H309" s="166"/>
      <c r="I309" s="166"/>
      <c r="J309" s="176" t="e">
        <f t="shared" si="67"/>
        <v>#DIV/0!</v>
      </c>
      <c r="K309" s="166"/>
      <c r="L309" s="168"/>
      <c r="M309" s="166"/>
      <c r="N309" s="166"/>
      <c r="O309" s="176"/>
      <c r="P309" s="168">
        <f aca="true" t="shared" si="71" ref="P309:P320">H309+K309</f>
        <v>0</v>
      </c>
      <c r="Q309" s="168">
        <f aca="true" t="shared" si="72" ref="Q309:Q320">I309+N309</f>
        <v>0</v>
      </c>
      <c r="R309" s="176">
        <f aca="true" t="shared" si="73" ref="R309:R320">Q309-P309</f>
        <v>0</v>
      </c>
      <c r="S309" s="176" t="e">
        <f aca="true" t="shared" si="74" ref="S309:S320">Q309/P309*100</f>
        <v>#DIV/0!</v>
      </c>
      <c r="T309" s="130"/>
    </row>
    <row r="310" spans="3:20" s="7" customFormat="1" ht="108" customHeight="1" hidden="1">
      <c r="C310" s="32" t="s">
        <v>30</v>
      </c>
      <c r="D310" s="32" t="s">
        <v>442</v>
      </c>
      <c r="E310" s="32" t="s">
        <v>443</v>
      </c>
      <c r="F310" s="115" t="s">
        <v>224</v>
      </c>
      <c r="G310" s="33" t="s">
        <v>616</v>
      </c>
      <c r="H310" s="166"/>
      <c r="I310" s="166"/>
      <c r="J310" s="176" t="e">
        <f t="shared" si="67"/>
        <v>#DIV/0!</v>
      </c>
      <c r="K310" s="166"/>
      <c r="L310" s="168"/>
      <c r="M310" s="166"/>
      <c r="N310" s="166"/>
      <c r="O310" s="176"/>
      <c r="P310" s="168">
        <f t="shared" si="71"/>
        <v>0</v>
      </c>
      <c r="Q310" s="168">
        <f t="shared" si="72"/>
        <v>0</v>
      </c>
      <c r="R310" s="176">
        <f t="shared" si="73"/>
        <v>0</v>
      </c>
      <c r="S310" s="176" t="e">
        <f t="shared" si="74"/>
        <v>#DIV/0!</v>
      </c>
      <c r="T310" s="34"/>
    </row>
    <row r="311" spans="3:20" s="7" customFormat="1" ht="262.5">
      <c r="C311" s="32" t="s">
        <v>33</v>
      </c>
      <c r="D311" s="32" t="s">
        <v>746</v>
      </c>
      <c r="E311" s="32" t="s">
        <v>747</v>
      </c>
      <c r="F311" s="115" t="s">
        <v>32</v>
      </c>
      <c r="G311" s="33" t="s">
        <v>748</v>
      </c>
      <c r="H311" s="220">
        <v>22653.699</v>
      </c>
      <c r="I311" s="166">
        <v>0</v>
      </c>
      <c r="J311" s="176"/>
      <c r="K311" s="166"/>
      <c r="L311" s="168"/>
      <c r="M311" s="166"/>
      <c r="N311" s="166"/>
      <c r="O311" s="176"/>
      <c r="P311" s="168"/>
      <c r="Q311" s="168"/>
      <c r="R311" s="176"/>
      <c r="S311" s="176"/>
      <c r="T311" s="34"/>
    </row>
    <row r="312" spans="1:20" s="18" customFormat="1" ht="33" customHeight="1">
      <c r="A312" s="18">
        <v>2</v>
      </c>
      <c r="B312" s="7">
        <v>46</v>
      </c>
      <c r="C312" s="32" t="s">
        <v>84</v>
      </c>
      <c r="D312" s="32" t="s">
        <v>582</v>
      </c>
      <c r="E312" s="32" t="s">
        <v>475</v>
      </c>
      <c r="F312" s="115" t="s">
        <v>8</v>
      </c>
      <c r="G312" s="33" t="s">
        <v>9</v>
      </c>
      <c r="H312" s="166">
        <v>10</v>
      </c>
      <c r="I312" s="166"/>
      <c r="J312" s="176">
        <f t="shared" si="67"/>
        <v>0</v>
      </c>
      <c r="K312" s="166"/>
      <c r="L312" s="168"/>
      <c r="M312" s="166"/>
      <c r="N312" s="166"/>
      <c r="O312" s="176"/>
      <c r="P312" s="168">
        <f t="shared" si="71"/>
        <v>10</v>
      </c>
      <c r="Q312" s="168">
        <f t="shared" si="72"/>
        <v>0</v>
      </c>
      <c r="R312" s="176">
        <f t="shared" si="73"/>
        <v>-10</v>
      </c>
      <c r="S312" s="176">
        <f t="shared" si="74"/>
        <v>0</v>
      </c>
      <c r="T312" s="130"/>
    </row>
    <row r="313" spans="1:20" s="7" customFormat="1" ht="34.5" customHeight="1">
      <c r="A313" s="50">
        <v>4</v>
      </c>
      <c r="B313" s="7">
        <v>46</v>
      </c>
      <c r="C313" s="5" t="s">
        <v>275</v>
      </c>
      <c r="D313" s="5" t="s">
        <v>583</v>
      </c>
      <c r="E313" s="5" t="s">
        <v>437</v>
      </c>
      <c r="F313" s="115" t="s">
        <v>226</v>
      </c>
      <c r="G313" s="33" t="s">
        <v>281</v>
      </c>
      <c r="H313" s="166">
        <v>30794.9</v>
      </c>
      <c r="I313" s="166">
        <v>15397.7</v>
      </c>
      <c r="J313" s="176">
        <f t="shared" si="67"/>
        <v>50.00081182273688</v>
      </c>
      <c r="K313" s="166"/>
      <c r="L313" s="166"/>
      <c r="M313" s="166"/>
      <c r="N313" s="166"/>
      <c r="O313" s="169"/>
      <c r="P313" s="168">
        <f t="shared" si="71"/>
        <v>30794.9</v>
      </c>
      <c r="Q313" s="168">
        <f t="shared" si="72"/>
        <v>15397.7</v>
      </c>
      <c r="R313" s="176">
        <f t="shared" si="73"/>
        <v>-15397.2</v>
      </c>
      <c r="S313" s="176">
        <f t="shared" si="74"/>
        <v>50.00081182273688</v>
      </c>
      <c r="T313" s="129"/>
    </row>
    <row r="314" spans="2:20" s="7" customFormat="1" ht="93" customHeight="1" hidden="1">
      <c r="B314" s="7">
        <v>81</v>
      </c>
      <c r="C314" s="32" t="s">
        <v>386</v>
      </c>
      <c r="D314" s="32"/>
      <c r="E314" s="32"/>
      <c r="F314" s="115" t="s">
        <v>6</v>
      </c>
      <c r="G314" s="42" t="s">
        <v>7</v>
      </c>
      <c r="H314" s="166"/>
      <c r="I314" s="166"/>
      <c r="J314" s="176" t="e">
        <f t="shared" si="67"/>
        <v>#DIV/0!</v>
      </c>
      <c r="K314" s="166"/>
      <c r="L314" s="166"/>
      <c r="M314" s="166"/>
      <c r="N314" s="166"/>
      <c r="O314" s="169"/>
      <c r="P314" s="168">
        <f t="shared" si="71"/>
        <v>0</v>
      </c>
      <c r="Q314" s="168">
        <f t="shared" si="72"/>
        <v>0</v>
      </c>
      <c r="R314" s="176">
        <f t="shared" si="73"/>
        <v>0</v>
      </c>
      <c r="S314" s="176" t="e">
        <f t="shared" si="74"/>
        <v>#DIV/0!</v>
      </c>
      <c r="T314" s="129"/>
    </row>
    <row r="315" spans="3:20" s="7" customFormat="1" ht="93" customHeight="1" hidden="1">
      <c r="C315" s="32" t="s">
        <v>388</v>
      </c>
      <c r="D315" s="32"/>
      <c r="E315" s="32"/>
      <c r="F315" s="115" t="s">
        <v>387</v>
      </c>
      <c r="G315" s="42" t="s">
        <v>389</v>
      </c>
      <c r="H315" s="166"/>
      <c r="I315" s="166"/>
      <c r="J315" s="176" t="e">
        <f t="shared" si="67"/>
        <v>#DIV/0!</v>
      </c>
      <c r="K315" s="166"/>
      <c r="L315" s="166"/>
      <c r="M315" s="166"/>
      <c r="N315" s="166"/>
      <c r="O315" s="169"/>
      <c r="P315" s="168">
        <f t="shared" si="71"/>
        <v>0</v>
      </c>
      <c r="Q315" s="168">
        <f t="shared" si="72"/>
        <v>0</v>
      </c>
      <c r="R315" s="176">
        <f t="shared" si="73"/>
        <v>0</v>
      </c>
      <c r="S315" s="176" t="e">
        <f t="shared" si="74"/>
        <v>#DIV/0!</v>
      </c>
      <c r="T315" s="129"/>
    </row>
    <row r="316" spans="3:20" s="7" customFormat="1" ht="40.5" customHeight="1" hidden="1">
      <c r="C316" s="5" t="s">
        <v>292</v>
      </c>
      <c r="D316" s="5"/>
      <c r="E316" s="5"/>
      <c r="F316" s="115" t="s">
        <v>291</v>
      </c>
      <c r="G316" s="89" t="s">
        <v>293</v>
      </c>
      <c r="H316" s="166"/>
      <c r="I316" s="166"/>
      <c r="J316" s="176" t="e">
        <f t="shared" si="67"/>
        <v>#DIV/0!</v>
      </c>
      <c r="K316" s="166"/>
      <c r="L316" s="166"/>
      <c r="M316" s="166"/>
      <c r="N316" s="166"/>
      <c r="O316" s="169"/>
      <c r="P316" s="168">
        <f t="shared" si="71"/>
        <v>0</v>
      </c>
      <c r="Q316" s="168">
        <f t="shared" si="72"/>
        <v>0</v>
      </c>
      <c r="R316" s="176">
        <f t="shared" si="73"/>
        <v>0</v>
      </c>
      <c r="S316" s="176" t="e">
        <f t="shared" si="74"/>
        <v>#DIV/0!</v>
      </c>
      <c r="T316" s="129"/>
    </row>
    <row r="317" spans="3:20" s="7" customFormat="1" ht="77.25" customHeight="1" hidden="1">
      <c r="C317" s="36" t="s">
        <v>294</v>
      </c>
      <c r="D317" s="36"/>
      <c r="E317" s="36"/>
      <c r="F317" s="115"/>
      <c r="G317" s="92" t="s">
        <v>397</v>
      </c>
      <c r="H317" s="166"/>
      <c r="I317" s="166"/>
      <c r="J317" s="176" t="e">
        <f t="shared" si="67"/>
        <v>#DIV/0!</v>
      </c>
      <c r="K317" s="166"/>
      <c r="L317" s="166"/>
      <c r="M317" s="166"/>
      <c r="N317" s="166"/>
      <c r="O317" s="169"/>
      <c r="P317" s="168">
        <f t="shared" si="71"/>
        <v>0</v>
      </c>
      <c r="Q317" s="168">
        <f t="shared" si="72"/>
        <v>0</v>
      </c>
      <c r="R317" s="176">
        <f t="shared" si="73"/>
        <v>0</v>
      </c>
      <c r="S317" s="176" t="e">
        <f t="shared" si="74"/>
        <v>#DIV/0!</v>
      </c>
      <c r="T317" s="129"/>
    </row>
    <row r="318" spans="3:20" s="7" customFormat="1" ht="77.25" customHeight="1">
      <c r="C318" s="32" t="s">
        <v>386</v>
      </c>
      <c r="D318" s="32" t="s">
        <v>749</v>
      </c>
      <c r="E318" s="32"/>
      <c r="F318" s="115" t="s">
        <v>6</v>
      </c>
      <c r="G318" s="42" t="s">
        <v>7</v>
      </c>
      <c r="H318" s="166">
        <v>4186.9</v>
      </c>
      <c r="I318" s="166">
        <v>0</v>
      </c>
      <c r="J318" s="176"/>
      <c r="K318" s="166"/>
      <c r="L318" s="166"/>
      <c r="M318" s="166"/>
      <c r="N318" s="166"/>
      <c r="O318" s="169"/>
      <c r="P318" s="168"/>
      <c r="Q318" s="168"/>
      <c r="R318" s="176"/>
      <c r="S318" s="176"/>
      <c r="T318" s="129"/>
    </row>
    <row r="319" spans="1:20" s="7" customFormat="1" ht="36.75" customHeight="1">
      <c r="A319" s="50">
        <v>9</v>
      </c>
      <c r="B319" s="7">
        <v>6</v>
      </c>
      <c r="C319" s="32" t="s">
        <v>617</v>
      </c>
      <c r="D319" s="32" t="s">
        <v>453</v>
      </c>
      <c r="E319" s="32" t="s">
        <v>475</v>
      </c>
      <c r="F319" s="115" t="s">
        <v>206</v>
      </c>
      <c r="G319" s="43" t="s">
        <v>92</v>
      </c>
      <c r="H319" s="166">
        <f>H320</f>
        <v>1560</v>
      </c>
      <c r="I319" s="166">
        <f>SUM(I320)</f>
        <v>0</v>
      </c>
      <c r="J319" s="176">
        <f t="shared" si="67"/>
        <v>0</v>
      </c>
      <c r="K319" s="166"/>
      <c r="L319" s="166">
        <f>SUM(L320)</f>
        <v>0</v>
      </c>
      <c r="M319" s="166"/>
      <c r="N319" s="166"/>
      <c r="O319" s="167">
        <f>SUM(O320)</f>
        <v>0</v>
      </c>
      <c r="P319" s="168">
        <f t="shared" si="71"/>
        <v>1560</v>
      </c>
      <c r="Q319" s="168">
        <f t="shared" si="72"/>
        <v>0</v>
      </c>
      <c r="R319" s="176">
        <f t="shared" si="73"/>
        <v>-1560</v>
      </c>
      <c r="S319" s="176">
        <f t="shared" si="74"/>
        <v>0</v>
      </c>
      <c r="T319" s="14">
        <f>SUM(T320)</f>
        <v>0</v>
      </c>
    </row>
    <row r="320" spans="3:20" s="39" customFormat="1" ht="44.25" customHeight="1">
      <c r="C320" s="35" t="s">
        <v>661</v>
      </c>
      <c r="D320" s="35" t="s">
        <v>454</v>
      </c>
      <c r="E320" s="35" t="s">
        <v>475</v>
      </c>
      <c r="F320" s="120"/>
      <c r="G320" s="37" t="s">
        <v>651</v>
      </c>
      <c r="H320" s="170">
        <v>1560</v>
      </c>
      <c r="I320" s="170">
        <v>0</v>
      </c>
      <c r="J320" s="176">
        <f t="shared" si="67"/>
        <v>0</v>
      </c>
      <c r="K320" s="170"/>
      <c r="L320" s="170"/>
      <c r="M320" s="170"/>
      <c r="N320" s="170"/>
      <c r="O320" s="172"/>
      <c r="P320" s="168">
        <f t="shared" si="71"/>
        <v>1560</v>
      </c>
      <c r="Q320" s="168">
        <f t="shared" si="72"/>
        <v>0</v>
      </c>
      <c r="R320" s="176">
        <f t="shared" si="73"/>
        <v>-1560</v>
      </c>
      <c r="S320" s="176">
        <f t="shared" si="74"/>
        <v>0</v>
      </c>
      <c r="T320" s="133"/>
    </row>
    <row r="321" spans="3:22" s="50" customFormat="1" ht="42" customHeight="1">
      <c r="C321" s="30"/>
      <c r="D321" s="30"/>
      <c r="E321" s="30"/>
      <c r="F321" s="121"/>
      <c r="G321" s="64" t="s">
        <v>142</v>
      </c>
      <c r="H321" s="199">
        <f>SUM(H308:H319)</f>
        <v>61423.099</v>
      </c>
      <c r="I321" s="200">
        <f>SUM(I308:I319)</f>
        <v>16537.057500000003</v>
      </c>
      <c r="J321" s="176">
        <f t="shared" si="67"/>
        <v>26.923189759604938</v>
      </c>
      <c r="K321" s="200">
        <f aca="true" t="shared" si="75" ref="K321:Q321">SUM(K308:K319)</f>
        <v>0</v>
      </c>
      <c r="L321" s="200">
        <f t="shared" si="75"/>
        <v>0</v>
      </c>
      <c r="M321" s="200">
        <f t="shared" si="75"/>
        <v>0</v>
      </c>
      <c r="N321" s="200">
        <f t="shared" si="75"/>
        <v>0</v>
      </c>
      <c r="O321" s="201">
        <f t="shared" si="75"/>
        <v>0</v>
      </c>
      <c r="P321" s="200">
        <f t="shared" si="75"/>
        <v>34582.5</v>
      </c>
      <c r="Q321" s="200">
        <f t="shared" si="75"/>
        <v>16537.057500000003</v>
      </c>
      <c r="R321" s="202">
        <f>Q321-P321</f>
        <v>-18045.442499999997</v>
      </c>
      <c r="S321" s="202">
        <f>Q321/P321*100</f>
        <v>47.819149859032756</v>
      </c>
      <c r="T321" s="72">
        <f>SUM(T308:T319)</f>
        <v>0</v>
      </c>
      <c r="U321" s="53"/>
      <c r="V321" s="53"/>
    </row>
    <row r="322" spans="3:22" s="50" customFormat="1" ht="42" customHeight="1" hidden="1">
      <c r="C322" s="30"/>
      <c r="D322" s="30"/>
      <c r="E322" s="30"/>
      <c r="F322" s="121"/>
      <c r="G322" s="64"/>
      <c r="H322" s="199"/>
      <c r="I322" s="199"/>
      <c r="J322" s="176"/>
      <c r="K322" s="199"/>
      <c r="L322" s="199"/>
      <c r="M322" s="199"/>
      <c r="N322" s="199"/>
      <c r="O322" s="201"/>
      <c r="P322" s="199"/>
      <c r="Q322" s="199"/>
      <c r="R322" s="201"/>
      <c r="S322" s="201"/>
      <c r="T322" s="72"/>
      <c r="U322" s="53"/>
      <c r="V322" s="53"/>
    </row>
    <row r="323" spans="3:22" s="211" customFormat="1" ht="34.5" customHeight="1">
      <c r="C323" s="212"/>
      <c r="D323" s="212"/>
      <c r="E323" s="212"/>
      <c r="F323" s="213"/>
      <c r="G323" s="105" t="s">
        <v>225</v>
      </c>
      <c r="H323" s="174">
        <f>H305+H200+H321+H272+H169+H163+H64+H58+H30+H281</f>
        <v>365966.13289</v>
      </c>
      <c r="I323" s="174">
        <f>I305+I200+I321+I272+I169+I163+I64+I58+I30+I281</f>
        <v>174166.25697</v>
      </c>
      <c r="J323" s="176">
        <f t="shared" si="67"/>
        <v>47.59081273303229</v>
      </c>
      <c r="K323" s="174">
        <f>K305+K200+K321+K272+K169+K163+K64+K58+K30+K281</f>
        <v>55979.99203000001</v>
      </c>
      <c r="L323" s="174">
        <f>L305+L200+L321+L272+L169+L163+L64+L58+L30+L281</f>
        <v>0</v>
      </c>
      <c r="M323" s="174">
        <f>M305+M200+M321+M272+M169+M163+M64+M58+M30+M281</f>
        <v>13495.61153</v>
      </c>
      <c r="N323" s="174">
        <f>N305+N200+N321+N272+N169+N163+N64+N58+N30+N281</f>
        <v>6346.10738</v>
      </c>
      <c r="O323" s="175">
        <f>M323/K323*100</f>
        <v>24.10791970596856</v>
      </c>
      <c r="P323" s="174">
        <f>P305+P200+P321+P272+P169+P163+P64+P58+P30+P281</f>
        <v>395105.5259200001</v>
      </c>
      <c r="Q323" s="174">
        <f>Q305+Q200+Q321+Q272+Q169+Q163+Q64+Q58+Q30+Q281</f>
        <v>187661.8685</v>
      </c>
      <c r="R323" s="175">
        <f>R305+R200+R321+R272+R169+R64+R58+R30+R281</f>
        <v>-133799.0009</v>
      </c>
      <c r="S323" s="175">
        <f>Q323/P323*100</f>
        <v>47.496644867983264</v>
      </c>
      <c r="T323" s="209" t="e">
        <f>T305+T200+T321+T272+T169+#REF!+T64+T58+T30+T281</f>
        <v>#REF!</v>
      </c>
      <c r="U323" s="214"/>
      <c r="V323" s="214"/>
    </row>
    <row r="324" spans="3:22" ht="49.5" customHeight="1">
      <c r="C324" s="32"/>
      <c r="D324" s="32"/>
      <c r="E324" s="32"/>
      <c r="F324" s="115"/>
      <c r="G324" s="33" t="s">
        <v>718</v>
      </c>
      <c r="H324" s="166">
        <f>H38+H41+H43+H69+H71+H76+H84+H91+H92+H100+H116+H126+H127+H128+H136+H137+H143+H151+H311+H318</f>
        <v>154916.81988999998</v>
      </c>
      <c r="I324" s="166">
        <f>I38+I41+I43+I69+I71+I76+I84+I91+I92+I100+I116+I126+I127+I128+I136+I137+I143+I151+I311+I318</f>
        <v>68374.71104</v>
      </c>
      <c r="J324" s="176">
        <f t="shared" si="67"/>
        <v>44.13640241811706</v>
      </c>
      <c r="K324" s="166">
        <f>K38+K41+K43+K69+K71+K76+K84+K91+K92+K100+K116+K126+K127+K128+K136+K137+K143+K151+K311+K318</f>
        <v>205</v>
      </c>
      <c r="L324" s="166">
        <f>L38+L41+L43+L69+L71+L76+L84+L91+L92+L100+L116+L126+L127+L128+L136+L137+L143+L151+L311+L318</f>
        <v>0</v>
      </c>
      <c r="M324" s="166">
        <f>M38+M41+M43+M69+M71+M76+M84+M91+M92+M100+M116+M126+M127+M128+M136+M137+M143+M151+M311+M318</f>
        <v>0</v>
      </c>
      <c r="N324" s="166">
        <f>N38+N41+N43+N69+N71+N76+N84+N91+N92+N100+N116+N126+N127+N128+N136+N137+N143+N151+N311+N318</f>
        <v>0</v>
      </c>
      <c r="O324" s="167">
        <v>0</v>
      </c>
      <c r="P324" s="166">
        <f>H324+K324</f>
        <v>155121.81988999998</v>
      </c>
      <c r="Q324" s="166">
        <f>I324+M324</f>
        <v>68374.71104</v>
      </c>
      <c r="R324" s="167">
        <f>R67+R38+R314+R291+R23+R40+R41+R315+R228+R42</f>
        <v>-59582.03381999998</v>
      </c>
      <c r="S324" s="167">
        <f>Q324/P324*100</f>
        <v>44.07807430862137</v>
      </c>
      <c r="T324" s="14">
        <f>T67+T38+T314+T291+T23+T40+T41+T315+T228+T42</f>
        <v>0</v>
      </c>
      <c r="U324" s="15"/>
      <c r="V324" s="15"/>
    </row>
    <row r="325" spans="7:20" ht="24.75" customHeight="1" hidden="1">
      <c r="G325" s="1" t="s">
        <v>349</v>
      </c>
      <c r="H325" s="14">
        <f>I325+L325</f>
        <v>0</v>
      </c>
      <c r="I325" s="12">
        <f>I40</f>
        <v>0</v>
      </c>
      <c r="J325" s="12" t="e">
        <f>J40</f>
        <v>#DIV/0!</v>
      </c>
      <c r="K325" s="12">
        <f>K40</f>
        <v>0</v>
      </c>
      <c r="L325" s="12">
        <f>L40</f>
        <v>0</v>
      </c>
      <c r="M325" s="12">
        <f>M40</f>
        <v>0</v>
      </c>
      <c r="N325" s="12"/>
      <c r="O325" s="12" t="e">
        <f aca="true" t="shared" si="76" ref="O325:T325">O40</f>
        <v>#DIV/0!</v>
      </c>
      <c r="P325" s="12">
        <f t="shared" si="76"/>
        <v>0</v>
      </c>
      <c r="Q325" s="12">
        <f t="shared" si="76"/>
        <v>0</v>
      </c>
      <c r="R325" s="12">
        <f t="shared" si="76"/>
        <v>0</v>
      </c>
      <c r="S325" s="12" t="e">
        <f t="shared" si="76"/>
        <v>#DIV/0!</v>
      </c>
      <c r="T325" s="12">
        <f t="shared" si="76"/>
        <v>0</v>
      </c>
    </row>
    <row r="326" spans="3:22" s="11" customFormat="1" ht="21" customHeight="1" hidden="1">
      <c r="C326" s="28"/>
      <c r="D326" s="28"/>
      <c r="E326" s="28"/>
      <c r="F326" s="124"/>
      <c r="G326" s="29" t="s">
        <v>350</v>
      </c>
      <c r="H326" s="14">
        <f>I326+L326</f>
        <v>0</v>
      </c>
      <c r="I326" s="97">
        <f>I73+I72</f>
        <v>0</v>
      </c>
      <c r="J326" s="97" t="e">
        <f>J73+J72</f>
        <v>#DIV/0!</v>
      </c>
      <c r="K326" s="97">
        <f>K73+K72</f>
        <v>0</v>
      </c>
      <c r="L326" s="97">
        <f>L73+L72</f>
        <v>0</v>
      </c>
      <c r="M326" s="97">
        <f>M73+M72</f>
        <v>0</v>
      </c>
      <c r="N326" s="97"/>
      <c r="O326" s="97" t="e">
        <f aca="true" t="shared" si="77" ref="O326:T326">O73+O72</f>
        <v>#DIV/0!</v>
      </c>
      <c r="P326" s="97">
        <f t="shared" si="77"/>
        <v>0</v>
      </c>
      <c r="Q326" s="97">
        <f t="shared" si="77"/>
        <v>0</v>
      </c>
      <c r="R326" s="97">
        <f t="shared" si="77"/>
        <v>0</v>
      </c>
      <c r="S326" s="97" t="e">
        <f t="shared" si="77"/>
        <v>#DIV/0!</v>
      </c>
      <c r="T326" s="97">
        <f t="shared" si="77"/>
        <v>0</v>
      </c>
      <c r="U326" s="150"/>
      <c r="V326" s="149" t="e">
        <f>U326-#REF!</f>
        <v>#REF!</v>
      </c>
    </row>
    <row r="327" spans="3:20" s="110" customFormat="1" ht="71.25" customHeight="1">
      <c r="C327" s="109"/>
      <c r="D327" s="109"/>
      <c r="E327" s="109"/>
      <c r="F327" s="227" t="s">
        <v>390</v>
      </c>
      <c r="G327" s="227"/>
      <c r="H327" s="227"/>
      <c r="I327" s="109"/>
      <c r="J327" s="109"/>
      <c r="L327" s="111"/>
      <c r="M327" s="112"/>
      <c r="N327" s="112"/>
      <c r="O327" s="113"/>
      <c r="P327" s="112"/>
      <c r="Q327" s="112"/>
      <c r="R327" s="222" t="s">
        <v>391</v>
      </c>
      <c r="S327" s="222"/>
      <c r="T327" s="142"/>
    </row>
    <row r="328" spans="3:20" s="21" customFormat="1" ht="20.25">
      <c r="C328" s="27"/>
      <c r="D328" s="27"/>
      <c r="E328" s="27"/>
      <c r="F328" s="125"/>
      <c r="G328" s="79"/>
      <c r="H328" s="13"/>
      <c r="I328" s="13">
        <f>I323-I324</f>
        <v>105791.54593</v>
      </c>
      <c r="J328" s="13"/>
      <c r="K328" s="16"/>
      <c r="L328" s="103"/>
      <c r="M328" s="13"/>
      <c r="N328" s="13"/>
      <c r="O328" s="14"/>
      <c r="P328" s="16"/>
      <c r="Q328" s="16"/>
      <c r="S328" s="99"/>
      <c r="T328" s="143"/>
    </row>
    <row r="329" spans="7:20" ht="20.25">
      <c r="G329" s="80"/>
      <c r="H329" s="221"/>
      <c r="I329" s="57"/>
      <c r="J329" s="57"/>
      <c r="K329" s="91"/>
      <c r="L329" s="104"/>
      <c r="M329" s="57"/>
      <c r="N329" s="57"/>
      <c r="O329" s="58"/>
      <c r="P329" s="58"/>
      <c r="Q329" s="58"/>
      <c r="R329" s="57"/>
      <c r="S329" s="57"/>
      <c r="T329" s="144"/>
    </row>
    <row r="330" spans="3:20" s="7" customFormat="1" ht="18.75">
      <c r="C330" s="27"/>
      <c r="D330" s="27"/>
      <c r="E330" s="27"/>
      <c r="F330" s="114"/>
      <c r="G330" s="80"/>
      <c r="H330" s="12"/>
      <c r="I330" s="12"/>
      <c r="J330" s="12"/>
      <c r="K330" s="12"/>
      <c r="L330" s="101"/>
      <c r="M330" s="12"/>
      <c r="N330" s="12"/>
      <c r="O330" s="12"/>
      <c r="P330" s="12"/>
      <c r="Q330" s="12"/>
      <c r="R330" s="12"/>
      <c r="S330" s="12"/>
      <c r="T330" s="141"/>
    </row>
    <row r="331" spans="3:20" s="7" customFormat="1" ht="18.75">
      <c r="C331" s="27"/>
      <c r="D331" s="27"/>
      <c r="E331" s="27"/>
      <c r="F331" s="126"/>
      <c r="G331" s="81"/>
      <c r="H331" s="12"/>
      <c r="I331" s="12"/>
      <c r="J331" s="12"/>
      <c r="K331" s="12"/>
      <c r="L331" s="101"/>
      <c r="M331" s="12"/>
      <c r="N331" s="12"/>
      <c r="O331" s="12"/>
      <c r="P331" s="12"/>
      <c r="Q331" s="12"/>
      <c r="R331" s="12"/>
      <c r="S331" s="12"/>
      <c r="T331" s="141"/>
    </row>
    <row r="332" spans="3:20" s="7" customFormat="1" ht="18.75">
      <c r="C332" s="27"/>
      <c r="D332" s="27"/>
      <c r="E332" s="27"/>
      <c r="F332" s="127"/>
      <c r="G332" s="80"/>
      <c r="H332" s="14"/>
      <c r="I332" s="203"/>
      <c r="J332" s="205">
        <v>7401.63933</v>
      </c>
      <c r="K332" s="14"/>
      <c r="L332" s="102"/>
      <c r="M332" s="12"/>
      <c r="N332" s="12"/>
      <c r="O332" s="20"/>
      <c r="P332" s="12"/>
      <c r="Q332" s="12"/>
      <c r="R332" s="12"/>
      <c r="S332" s="12"/>
      <c r="T332" s="141"/>
    </row>
    <row r="333" spans="6:20" ht="18.75">
      <c r="F333" s="127"/>
      <c r="G333" s="82"/>
      <c r="H333" s="6"/>
      <c r="I333" s="203"/>
      <c r="J333" s="206">
        <v>12716.93446</v>
      </c>
      <c r="K333" s="6"/>
      <c r="M333" s="6"/>
      <c r="N333" s="6"/>
      <c r="O333" s="23"/>
      <c r="P333" s="6"/>
      <c r="Q333" s="6"/>
      <c r="R333" s="6"/>
      <c r="S333" s="6"/>
      <c r="T333" s="145"/>
    </row>
    <row r="334" spans="6:20" ht="18.75">
      <c r="F334" s="127"/>
      <c r="G334" s="82"/>
      <c r="H334" s="6"/>
      <c r="I334" s="204"/>
      <c r="J334" s="207">
        <v>1118.3369</v>
      </c>
      <c r="K334" s="6"/>
      <c r="M334" s="6"/>
      <c r="N334" s="6"/>
      <c r="O334" s="23"/>
      <c r="P334" s="6"/>
      <c r="Q334" s="6"/>
      <c r="R334" s="6"/>
      <c r="S334" s="6"/>
      <c r="T334" s="145"/>
    </row>
    <row r="335" spans="7:10" ht="18.75">
      <c r="G335" s="80"/>
      <c r="I335" s="204"/>
      <c r="J335" s="208">
        <v>0.31399</v>
      </c>
    </row>
    <row r="336" spans="7:20" ht="18.75">
      <c r="G336" s="80"/>
      <c r="H336" s="6"/>
      <c r="I336" s="203"/>
      <c r="J336" s="208">
        <v>7195.50024</v>
      </c>
      <c r="K336" s="6"/>
      <c r="M336" s="6"/>
      <c r="N336" s="6"/>
      <c r="O336" s="24"/>
      <c r="P336" s="6"/>
      <c r="Q336" s="6"/>
      <c r="R336" s="6"/>
      <c r="S336" s="6"/>
      <c r="T336" s="145"/>
    </row>
    <row r="337" spans="7:10" ht="18.75">
      <c r="G337" s="80"/>
      <c r="I337" s="204"/>
      <c r="J337" s="208">
        <v>1000</v>
      </c>
    </row>
    <row r="338" spans="7:20" ht="18.75">
      <c r="G338" s="80"/>
      <c r="H338" s="6"/>
      <c r="I338" s="203"/>
      <c r="J338" s="208">
        <v>1646.46734</v>
      </c>
      <c r="K338" s="6"/>
      <c r="M338" s="6"/>
      <c r="N338" s="6"/>
      <c r="O338" s="25"/>
      <c r="P338" s="6"/>
      <c r="Q338" s="6"/>
      <c r="R338" s="6"/>
      <c r="S338" s="6"/>
      <c r="T338" s="145"/>
    </row>
    <row r="339" spans="7:11" ht="18.75">
      <c r="G339" s="80"/>
      <c r="I339" s="101"/>
      <c r="J339" s="210">
        <v>4061.74725</v>
      </c>
      <c r="K339" s="208"/>
    </row>
    <row r="340" spans="7:10" ht="18.75">
      <c r="G340" s="80"/>
      <c r="H340" s="4"/>
      <c r="I340" s="4"/>
      <c r="J340" s="208">
        <f>SUM(J332:J339)</f>
        <v>35140.93951</v>
      </c>
    </row>
    <row r="341" spans="7:10" ht="18.75">
      <c r="G341" s="80"/>
      <c r="H341" s="4"/>
      <c r="I341" s="4"/>
      <c r="J341" s="1">
        <v>35140.93951</v>
      </c>
    </row>
    <row r="342" spans="7:10" ht="18.75">
      <c r="G342" s="80"/>
      <c r="J342" s="12">
        <f>J341-J340</f>
        <v>0</v>
      </c>
    </row>
    <row r="343" ht="18.75">
      <c r="G343" s="12"/>
    </row>
  </sheetData>
  <sheetProtection/>
  <mergeCells count="27">
    <mergeCell ref="P7:S7"/>
    <mergeCell ref="M8:N9"/>
    <mergeCell ref="P1:S1"/>
    <mergeCell ref="F5:T5"/>
    <mergeCell ref="S6:T6"/>
    <mergeCell ref="P2:S2"/>
    <mergeCell ref="D4:T4"/>
    <mergeCell ref="D7:D10"/>
    <mergeCell ref="E7:E10"/>
    <mergeCell ref="R8:R10"/>
    <mergeCell ref="C7:C10"/>
    <mergeCell ref="F7:F10"/>
    <mergeCell ref="H8:H10"/>
    <mergeCell ref="J8:J10"/>
    <mergeCell ref="K8:K10"/>
    <mergeCell ref="H7:J7"/>
    <mergeCell ref="K7:O7"/>
    <mergeCell ref="R327:S327"/>
    <mergeCell ref="G7:G8"/>
    <mergeCell ref="O94:O95"/>
    <mergeCell ref="O8:O10"/>
    <mergeCell ref="Q8:Q10"/>
    <mergeCell ref="F327:H327"/>
    <mergeCell ref="L8:L10"/>
    <mergeCell ref="I8:I10"/>
    <mergeCell ref="P8:P10"/>
    <mergeCell ref="S8:S10"/>
  </mergeCells>
  <conditionalFormatting sqref="M299:N300 M259:N259 M25:N25 H16 M62:N62 L308:L312 H172:I172 M302:N304 M296:N296 O203:T203 O172:T172 H35:H36 H33:Q33 T39:T42 H207:I208 M218:N219 O308:T308 M233:N238 M290:N294 H15:I15 M224:N228 M288:N288 H284:I284 I285:I286 O208:T208 H203:I203 K15:L15 K172:L172 K203:L203 K284:T284 K207:L208 T15 K34:M34 T45:T49 T51 O34:O42 H34:I34 S33:T33 T34:T36 M130:M133 P173:S174 T207 R204:S207 K285:L286 O285:T286 T288 O309:O312 T309:T312 P309:S320 J34:J64 J105:J324 O44:O58 M230:N231 O287:O290 P34:Q56 S34:S56">
    <cfRule type="cellIs" priority="35" dxfId="20" operator="equal" stopIfTrue="1">
      <formula>0</formula>
    </cfRule>
  </conditionalFormatting>
  <conditionalFormatting sqref="T77">
    <cfRule type="cellIs" priority="23" dxfId="20" operator="equal" stopIfTrue="1">
      <formula>0</formula>
    </cfRule>
  </conditionalFormatting>
  <conditionalFormatting sqref="T50">
    <cfRule type="cellIs" priority="21" dxfId="20" operator="equal" stopIfTrue="1">
      <formula>0</formula>
    </cfRule>
  </conditionalFormatting>
  <conditionalFormatting sqref="M210:N212">
    <cfRule type="cellIs" priority="20" dxfId="20" operator="equal" stopIfTrue="1">
      <formula>0</formula>
    </cfRule>
  </conditionalFormatting>
  <conditionalFormatting sqref="H275:I278 K275:T278 P279:S280">
    <cfRule type="cellIs" priority="19" dxfId="20" operator="equal" stopIfTrue="1">
      <formula>0</formula>
    </cfRule>
  </conditionalFormatting>
  <conditionalFormatting sqref="T44">
    <cfRule type="cellIs" priority="18" dxfId="20" operator="equal" stopIfTrue="1">
      <formula>0</formula>
    </cfRule>
  </conditionalFormatting>
  <conditionalFormatting sqref="H204:H206 I206 I204 K206:L206 K204:L204 O204:Q207 T204:T206">
    <cfRule type="cellIs" priority="17" dxfId="20" operator="equal" stopIfTrue="1">
      <formula>0</formula>
    </cfRule>
  </conditionalFormatting>
  <conditionalFormatting sqref="M297:T297">
    <cfRule type="cellIs" priority="15" dxfId="20" operator="equal" stopIfTrue="1">
      <formula>0</formula>
    </cfRule>
  </conditionalFormatting>
  <conditionalFormatting sqref="M232:N232">
    <cfRule type="cellIs" priority="13" dxfId="20" operator="equal" stopIfTrue="1">
      <formula>0</formula>
    </cfRule>
  </conditionalFormatting>
  <conditionalFormatting sqref="M217:N217">
    <cfRule type="cellIs" priority="12" dxfId="20" operator="equal" stopIfTrue="1">
      <formula>0</formula>
    </cfRule>
  </conditionalFormatting>
  <conditionalFormatting sqref="M241:N241">
    <cfRule type="cellIs" priority="11" dxfId="20" operator="equal" stopIfTrue="1">
      <formula>0</formula>
    </cfRule>
  </conditionalFormatting>
  <conditionalFormatting sqref="M220:N220">
    <cfRule type="cellIs" priority="10" dxfId="20" operator="equal" stopIfTrue="1">
      <formula>0</formula>
    </cfRule>
  </conditionalFormatting>
  <conditionalFormatting sqref="H268:H271">
    <cfRule type="cellIs" priority="9" dxfId="20" operator="equal" stopIfTrue="1">
      <formula>0</formula>
    </cfRule>
  </conditionalFormatting>
  <conditionalFormatting sqref="J67:J93">
    <cfRule type="cellIs" priority="8" dxfId="20" operator="equal" stopIfTrue="1">
      <formula>0</formula>
    </cfRule>
  </conditionalFormatting>
  <conditionalFormatting sqref="J96:J100">
    <cfRule type="cellIs" priority="7" dxfId="20" operator="equal" stopIfTrue="1">
      <formula>0</formula>
    </cfRule>
  </conditionalFormatting>
  <conditionalFormatting sqref="J103:J104">
    <cfRule type="cellIs" priority="6" dxfId="20" operator="equal" stopIfTrue="1">
      <formula>0</formula>
    </cfRule>
  </conditionalFormatting>
  <conditionalFormatting sqref="K35">
    <cfRule type="cellIs" priority="4" dxfId="20" operator="equal" stopIfTrue="1">
      <formula>0</formula>
    </cfRule>
  </conditionalFormatting>
  <conditionalFormatting sqref="M77">
    <cfRule type="cellIs" priority="3" dxfId="20" operator="equal" stopIfTrue="1">
      <formula>0</formula>
    </cfRule>
  </conditionalFormatting>
  <conditionalFormatting sqref="N43:O43">
    <cfRule type="cellIs" priority="2" dxfId="20" operator="equal" stopIfTrue="1">
      <formula>0</formula>
    </cfRule>
  </conditionalFormatting>
  <conditionalFormatting sqref="O67:O77">
    <cfRule type="cellIs" priority="1" dxfId="20" operator="equal" stopIfTrue="1">
      <formula>0</formula>
    </cfRule>
  </conditionalFormatting>
  <printOptions horizontalCentered="1"/>
  <pageMargins left="0.11811023622047245" right="0.11811023622047245" top="0.984251968503937" bottom="0.3937007874015748" header="0.5118110236220472" footer="0"/>
  <pageSetup blackAndWhite="1" fitToHeight="21" fitToWidth="1" horizontalDpi="600" verticalDpi="600" orientation="landscape" paperSize="9" scale="45" r:id="rId1"/>
  <headerFooter differentFirst="1" alignWithMargins="0">
    <oddFooter>&amp;C&amp;P</oddFooter>
  </headerFooter>
  <rowBreaks count="8" manualBreakCount="8">
    <brk id="30" max="18" man="1"/>
    <brk id="163" max="18" man="1"/>
    <brk id="183" max="18" man="1"/>
    <brk id="200" max="18" man="1"/>
    <brk id="229" max="18" man="1"/>
    <brk id="245" max="18" man="1"/>
    <brk id="272" max="18" man="1"/>
    <brk id="284"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GFU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Света</dc:creator>
  <cp:keywords/>
  <dc:description/>
  <cp:lastModifiedBy>Корецкая</cp:lastModifiedBy>
  <cp:lastPrinted>2017-07-24T06:20:04Z</cp:lastPrinted>
  <dcterms:created xsi:type="dcterms:W3CDTF">2002-12-16T07:25:53Z</dcterms:created>
  <dcterms:modified xsi:type="dcterms:W3CDTF">2017-07-24T06:20:16Z</dcterms:modified>
  <cp:category/>
  <cp:version/>
  <cp:contentType/>
  <cp:contentStatus/>
</cp:coreProperties>
</file>